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0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rojets\Vidéo\Séries\Esprit critique\_TE13 Comment décider des trucs\"/>
    </mc:Choice>
  </mc:AlternateContent>
  <xr:revisionPtr revIDLastSave="0" documentId="13_ncr:1_{23722CD4-F957-49C2-B446-7502368C38D7}" xr6:coauthVersionLast="46" xr6:coauthVersionMax="46" xr10:uidLastSave="{00000000-0000-0000-0000-000000000000}"/>
  <bookViews>
    <workbookView xWindow="28680" yWindow="-120" windowWidth="29040" windowHeight="16440" activeTab="3" xr2:uid="{00000000-000D-0000-FFFF-FFFF00000000}"/>
  </bookViews>
  <sheets>
    <sheet name="Vote et Résultats" sheetId="1" r:id="rId1"/>
    <sheet name="Vérif Bulletins" sheetId="7" r:id="rId2"/>
    <sheet name="Tours Vote Alternatif" sheetId="8" r:id="rId3"/>
    <sheet name="Tours Méthode Coombs" sheetId="10" r:id="rId4"/>
    <sheet name="Duels Condorcet" sheetId="3" r:id="rId5"/>
    <sheet name="Compte victoires" sheetId="5" r:id="rId6"/>
    <sheet name="Classement" sheetId="6" r:id="rId7"/>
    <sheet name="Valeurs" sheetId="2" r:id="rId8"/>
  </sheets>
  <definedNames>
    <definedName name="appréciations">Valeurs!$A$1:$A$6</definedName>
  </definedNames>
  <calcPr calcId="191029"/>
</workbook>
</file>

<file path=xl/calcChain.xml><?xml version="1.0" encoding="utf-8"?>
<calcChain xmlns="http://schemas.openxmlformats.org/spreadsheetml/2006/main">
  <c r="B13" i="3" l="1"/>
  <c r="M13" i="1"/>
  <c r="M12" i="1"/>
  <c r="M11" i="1"/>
  <c r="M10" i="1"/>
  <c r="M9" i="1"/>
  <c r="M8" i="1"/>
  <c r="M7" i="1"/>
  <c r="M6" i="1"/>
  <c r="M5" i="1"/>
  <c r="M4" i="1"/>
  <c r="C15" i="1" l="1"/>
  <c r="K15" i="1" l="1"/>
  <c r="I15" i="1"/>
  <c r="G15" i="1"/>
  <c r="E15" i="1"/>
  <c r="E13" i="3"/>
  <c r="K13" i="3"/>
  <c r="J13" i="3"/>
  <c r="I13" i="3"/>
  <c r="H13" i="3"/>
  <c r="G13" i="3"/>
  <c r="F13" i="3"/>
  <c r="D13" i="3"/>
  <c r="C13" i="3"/>
  <c r="D14" i="1"/>
  <c r="F14" i="1"/>
  <c r="H14" i="1"/>
  <c r="J14" i="1"/>
  <c r="L14" i="1"/>
  <c r="B14" i="3" l="1"/>
  <c r="C14" i="3"/>
  <c r="C6" i="5"/>
  <c r="C2" i="5"/>
  <c r="C3" i="5"/>
  <c r="C4" i="5"/>
  <c r="C5" i="5"/>
  <c r="B3" i="7"/>
  <c r="C3" i="7"/>
  <c r="D3" i="7"/>
  <c r="E3" i="7"/>
  <c r="F3" i="7"/>
  <c r="G3" i="7"/>
  <c r="B4" i="7"/>
  <c r="C4" i="7"/>
  <c r="D4" i="7"/>
  <c r="E4" i="7"/>
  <c r="F4" i="7"/>
  <c r="G4" i="7"/>
  <c r="B5" i="7"/>
  <c r="C5" i="7"/>
  <c r="D5" i="7"/>
  <c r="E5" i="7"/>
  <c r="F5" i="7"/>
  <c r="G5" i="7"/>
  <c r="B6" i="7"/>
  <c r="C6" i="7"/>
  <c r="D6" i="7"/>
  <c r="E6" i="7"/>
  <c r="F6" i="7"/>
  <c r="G6" i="7"/>
  <c r="B7" i="7"/>
  <c r="C7" i="7"/>
  <c r="D7" i="7"/>
  <c r="E7" i="7"/>
  <c r="F7" i="7"/>
  <c r="G7" i="7"/>
  <c r="B8" i="7"/>
  <c r="C8" i="7"/>
  <c r="D8" i="7"/>
  <c r="E8" i="7"/>
  <c r="F8" i="7"/>
  <c r="G8" i="7"/>
  <c r="B9" i="7"/>
  <c r="C9" i="7"/>
  <c r="D9" i="7"/>
  <c r="E9" i="7"/>
  <c r="F9" i="7"/>
  <c r="G9" i="7"/>
  <c r="B10" i="7"/>
  <c r="C10" i="7"/>
  <c r="D10" i="7"/>
  <c r="E10" i="7"/>
  <c r="F10" i="7"/>
  <c r="G10" i="7"/>
  <c r="B11" i="7"/>
  <c r="C11" i="7"/>
  <c r="D11" i="7"/>
  <c r="E11" i="7"/>
  <c r="F11" i="7"/>
  <c r="G11" i="7"/>
  <c r="C2" i="7"/>
  <c r="D2" i="7"/>
  <c r="E2" i="7"/>
  <c r="F2" i="7"/>
  <c r="G2" i="7"/>
  <c r="B2" i="7"/>
  <c r="C4" i="6" l="1"/>
  <c r="C5" i="6"/>
  <c r="C3" i="6"/>
  <c r="C2" i="6"/>
  <c r="C6" i="6"/>
  <c r="H10" i="7"/>
  <c r="N12" i="1" s="1"/>
  <c r="H8" i="7"/>
  <c r="N10" i="1" s="1"/>
  <c r="H9" i="7"/>
  <c r="N11" i="1" s="1"/>
  <c r="H7" i="7"/>
  <c r="N9" i="1" s="1"/>
  <c r="H5" i="7"/>
  <c r="N7" i="1" s="1"/>
  <c r="H6" i="7"/>
  <c r="N8" i="1" s="1"/>
  <c r="H4" i="7"/>
  <c r="N6" i="1" s="1"/>
  <c r="H3" i="7"/>
  <c r="N5" i="1" s="1"/>
  <c r="H11" i="7"/>
  <c r="N13" i="1" s="1"/>
  <c r="H2" i="7"/>
  <c r="N4" i="1" s="1"/>
  <c r="B3" i="3" l="1"/>
  <c r="C4" i="10"/>
  <c r="C3" i="3"/>
  <c r="C3" i="10"/>
  <c r="C7" i="8"/>
  <c r="C7" i="10"/>
  <c r="C4" i="8"/>
  <c r="D3" i="3"/>
  <c r="E3" i="3"/>
  <c r="F3" i="3"/>
  <c r="G3" i="3"/>
  <c r="C3" i="8"/>
  <c r="H3" i="3"/>
  <c r="I3" i="3"/>
  <c r="C6" i="8"/>
  <c r="J3" i="3"/>
  <c r="C5" i="8"/>
  <c r="K3" i="3"/>
  <c r="C6" i="10"/>
  <c r="C5" i="10"/>
  <c r="D4" i="3"/>
  <c r="E4" i="3"/>
  <c r="D7" i="8"/>
  <c r="F4" i="3"/>
  <c r="D6" i="8"/>
  <c r="G4" i="3"/>
  <c r="D7" i="10"/>
  <c r="D5" i="8"/>
  <c r="H4" i="3"/>
  <c r="D6" i="10"/>
  <c r="D4" i="8"/>
  <c r="I4" i="3"/>
  <c r="D5" i="10"/>
  <c r="D3" i="8"/>
  <c r="J4" i="3"/>
  <c r="K4" i="3"/>
  <c r="D3" i="10"/>
  <c r="C4" i="3"/>
  <c r="D4" i="10"/>
  <c r="B4" i="3"/>
  <c r="H6" i="3"/>
  <c r="I6" i="3"/>
  <c r="J6" i="3"/>
  <c r="F4" i="10"/>
  <c r="K6" i="3"/>
  <c r="F7" i="10"/>
  <c r="F7" i="8"/>
  <c r="F4" i="8"/>
  <c r="F6" i="10"/>
  <c r="F6" i="8"/>
  <c r="F5" i="10"/>
  <c r="F5" i="8"/>
  <c r="B6" i="3"/>
  <c r="C6" i="3"/>
  <c r="F3" i="10"/>
  <c r="F3" i="8"/>
  <c r="E6" i="3"/>
  <c r="F6" i="3"/>
  <c r="D6" i="3"/>
  <c r="G6" i="3"/>
  <c r="F5" i="3"/>
  <c r="E4" i="10"/>
  <c r="E3" i="8"/>
  <c r="G5" i="3"/>
  <c r="E3" i="10"/>
  <c r="H5" i="3"/>
  <c r="I5" i="3"/>
  <c r="E6" i="10"/>
  <c r="E5" i="8"/>
  <c r="J5" i="3"/>
  <c r="K5" i="3"/>
  <c r="C5" i="3"/>
  <c r="E6" i="8"/>
  <c r="B5" i="3"/>
  <c r="E7" i="8"/>
  <c r="D5" i="3"/>
  <c r="E5" i="3"/>
  <c r="E5" i="10"/>
  <c r="E4" i="8"/>
  <c r="E7" i="10"/>
  <c r="J7" i="3"/>
  <c r="G4" i="10"/>
  <c r="G5" i="8"/>
  <c r="H7" i="3"/>
  <c r="G7" i="8"/>
  <c r="K7" i="3"/>
  <c r="G3" i="10"/>
  <c r="G4" i="8"/>
  <c r="G3" i="8"/>
  <c r="B7" i="3"/>
  <c r="C7" i="3"/>
  <c r="D7" i="3"/>
  <c r="E7" i="3"/>
  <c r="G7" i="10"/>
  <c r="G6" i="10"/>
  <c r="F7" i="3"/>
  <c r="G7" i="3"/>
  <c r="I7" i="3"/>
  <c r="G5" i="10"/>
  <c r="G6" i="8"/>
  <c r="B8" i="3"/>
  <c r="C8" i="3"/>
  <c r="H7" i="10"/>
  <c r="H4" i="10"/>
  <c r="H3" i="8"/>
  <c r="J8" i="3"/>
  <c r="D8" i="3"/>
  <c r="H6" i="10"/>
  <c r="E8" i="3"/>
  <c r="H5" i="10"/>
  <c r="H7" i="8"/>
  <c r="F8" i="3"/>
  <c r="G8" i="3"/>
  <c r="H3" i="10"/>
  <c r="H5" i="8"/>
  <c r="I8" i="3"/>
  <c r="H8" i="3"/>
  <c r="H4" i="8"/>
  <c r="K8" i="3"/>
  <c r="H6" i="8"/>
  <c r="B9" i="3"/>
  <c r="I4" i="10"/>
  <c r="I7" i="8"/>
  <c r="C9" i="3"/>
  <c r="I3" i="10"/>
  <c r="I6" i="8"/>
  <c r="I6" i="10"/>
  <c r="D9" i="3"/>
  <c r="I5" i="8"/>
  <c r="E9" i="3"/>
  <c r="I4" i="8"/>
  <c r="K9" i="3"/>
  <c r="F9" i="3"/>
  <c r="I3" i="8"/>
  <c r="G9" i="3"/>
  <c r="H9" i="3"/>
  <c r="I9" i="3"/>
  <c r="J9" i="3"/>
  <c r="I7" i="10"/>
  <c r="I5" i="10"/>
  <c r="D10" i="3"/>
  <c r="J5" i="8"/>
  <c r="E10" i="3"/>
  <c r="J4" i="10"/>
  <c r="F10" i="3"/>
  <c r="G10" i="3"/>
  <c r="J7" i="10"/>
  <c r="H10" i="3"/>
  <c r="J6" i="10"/>
  <c r="J4" i="8"/>
  <c r="I10" i="3"/>
  <c r="J5" i="10"/>
  <c r="B10" i="3"/>
  <c r="J10" i="3"/>
  <c r="K10" i="3"/>
  <c r="J3" i="10"/>
  <c r="J7" i="8"/>
  <c r="J6" i="8"/>
  <c r="C10" i="3"/>
  <c r="J3" i="8"/>
  <c r="F11" i="3"/>
  <c r="K4" i="10"/>
  <c r="G11" i="3"/>
  <c r="K3" i="10"/>
  <c r="K3" i="8"/>
  <c r="D11" i="3"/>
  <c r="H11" i="3"/>
  <c r="K7" i="8"/>
  <c r="I11" i="3"/>
  <c r="K6" i="8"/>
  <c r="J11" i="3"/>
  <c r="K5" i="8"/>
  <c r="C11" i="3"/>
  <c r="K11" i="3"/>
  <c r="K4" i="8"/>
  <c r="K7" i="10"/>
  <c r="B11" i="3"/>
  <c r="E11" i="3"/>
  <c r="K5" i="10"/>
  <c r="K6" i="10"/>
  <c r="E2" i="3"/>
  <c r="D2" i="3"/>
  <c r="B5" i="10"/>
  <c r="C2" i="3"/>
  <c r="B7" i="10"/>
  <c r="B7" i="8"/>
  <c r="B6" i="8"/>
  <c r="B2" i="3"/>
  <c r="B6" i="10"/>
  <c r="B4" i="10"/>
  <c r="B5" i="8"/>
  <c r="K2" i="3"/>
  <c r="B3" i="10"/>
  <c r="B4" i="8"/>
  <c r="B3" i="8"/>
  <c r="J2" i="3"/>
  <c r="I2" i="3"/>
  <c r="H2" i="3"/>
  <c r="G2" i="3"/>
  <c r="F2" i="3"/>
  <c r="C23" i="1"/>
  <c r="F23" i="1"/>
  <c r="D23" i="1"/>
  <c r="E23" i="1"/>
  <c r="G23" i="1"/>
  <c r="H14" i="3"/>
  <c r="K14" i="3"/>
  <c r="J14" i="3"/>
  <c r="D14" i="3"/>
  <c r="E14" i="3"/>
  <c r="F14" i="3"/>
  <c r="G14" i="3"/>
  <c r="I14" i="3"/>
  <c r="N4" i="10" l="1"/>
  <c r="B15" i="3"/>
  <c r="N6" i="8"/>
  <c r="I8" i="10"/>
  <c r="C8" i="10"/>
  <c r="H15" i="3"/>
  <c r="N3" i="10"/>
  <c r="F15" i="3"/>
  <c r="K8" i="10"/>
  <c r="H8" i="10"/>
  <c r="N7" i="8"/>
  <c r="F8" i="10"/>
  <c r="N7" i="10"/>
  <c r="E8" i="10"/>
  <c r="N3" i="8"/>
  <c r="L3" i="8" s="1"/>
  <c r="N4" i="8"/>
  <c r="G8" i="10"/>
  <c r="G15" i="3"/>
  <c r="J8" i="10"/>
  <c r="D8" i="10"/>
  <c r="N5" i="8"/>
  <c r="N5" i="10"/>
  <c r="N6" i="10"/>
  <c r="B8" i="10"/>
  <c r="C14" i="1"/>
  <c r="G14" i="1"/>
  <c r="E14" i="1"/>
  <c r="K14" i="1"/>
  <c r="I14" i="1"/>
  <c r="J15" i="3"/>
  <c r="I15" i="3"/>
  <c r="K15" i="3"/>
  <c r="D15" i="3"/>
  <c r="C15" i="3"/>
  <c r="E15" i="3"/>
  <c r="O6" i="8" l="1"/>
  <c r="O7" i="8"/>
  <c r="L7" i="8"/>
  <c r="N15" i="8" s="1"/>
  <c r="O3" i="8"/>
  <c r="L6" i="8"/>
  <c r="L4" i="8"/>
  <c r="D13" i="8" s="1"/>
  <c r="L5" i="8"/>
  <c r="O4" i="8"/>
  <c r="O5" i="8"/>
  <c r="P4" i="10"/>
  <c r="P7" i="10"/>
  <c r="P6" i="10"/>
  <c r="P5" i="10"/>
  <c r="P3" i="10"/>
  <c r="B12" i="3"/>
  <c r="O3" i="10"/>
  <c r="O7" i="10"/>
  <c r="O5" i="10"/>
  <c r="O4" i="10"/>
  <c r="O6" i="10"/>
  <c r="K12" i="3"/>
  <c r="H12" i="3"/>
  <c r="F12" i="3"/>
  <c r="G12" i="3"/>
  <c r="E12" i="3"/>
  <c r="D12" i="3"/>
  <c r="C12" i="3"/>
  <c r="J12" i="3"/>
  <c r="I12" i="3"/>
  <c r="E6" i="5"/>
  <c r="K16" i="1" s="1"/>
  <c r="E5" i="5"/>
  <c r="I16" i="1" s="1"/>
  <c r="E4" i="5"/>
  <c r="G16" i="1" s="1"/>
  <c r="E3" i="5"/>
  <c r="E16" i="1" s="1"/>
  <c r="E2" i="5"/>
  <c r="C16" i="1" s="1"/>
  <c r="I12" i="8" l="1"/>
  <c r="E15" i="8"/>
  <c r="G11" i="8"/>
  <c r="G13" i="8"/>
  <c r="C15" i="8"/>
  <c r="D14" i="8"/>
  <c r="G15" i="8"/>
  <c r="B11" i="8"/>
  <c r="C11" i="8"/>
  <c r="D11" i="8"/>
  <c r="J14" i="8"/>
  <c r="C13" i="8"/>
  <c r="F12" i="8"/>
  <c r="K13" i="8"/>
  <c r="I11" i="8"/>
  <c r="I13" i="8"/>
  <c r="H13" i="8"/>
  <c r="D12" i="8"/>
  <c r="D15" i="8"/>
  <c r="E13" i="8"/>
  <c r="E11" i="8"/>
  <c r="K12" i="8"/>
  <c r="B12" i="8"/>
  <c r="G12" i="8"/>
  <c r="J12" i="8"/>
  <c r="F14" i="8"/>
  <c r="I10" i="8"/>
  <c r="F13" i="8"/>
  <c r="J11" i="8"/>
  <c r="E12" i="8"/>
  <c r="C14" i="8"/>
  <c r="C10" i="8"/>
  <c r="J15" i="8"/>
  <c r="D10" i="8"/>
  <c r="I15" i="8"/>
  <c r="F11" i="8"/>
  <c r="H11" i="8"/>
  <c r="F15" i="8"/>
  <c r="J13" i="8"/>
  <c r="H14" i="8"/>
  <c r="B13" i="8"/>
  <c r="B15" i="8"/>
  <c r="I14" i="8"/>
  <c r="C12" i="8"/>
  <c r="E14" i="8"/>
  <c r="H15" i="8"/>
  <c r="G10" i="8"/>
  <c r="B14" i="8"/>
  <c r="G14" i="8"/>
  <c r="H12" i="8"/>
  <c r="K11" i="8"/>
  <c r="F10" i="8"/>
  <c r="E10" i="8"/>
  <c r="K14" i="8"/>
  <c r="H10" i="8"/>
  <c r="K15" i="8"/>
  <c r="K10" i="8"/>
  <c r="J10" i="8"/>
  <c r="B10" i="8"/>
  <c r="L4" i="10"/>
  <c r="N14" i="8"/>
  <c r="O14" i="8" s="1"/>
  <c r="L3" i="10"/>
  <c r="O11" i="10" s="1"/>
  <c r="N13" i="8"/>
  <c r="L13" i="8" s="1"/>
  <c r="N12" i="8"/>
  <c r="N11" i="8"/>
  <c r="L7" i="10"/>
  <c r="L6" i="10"/>
  <c r="L5" i="10"/>
  <c r="O15" i="8"/>
  <c r="L15" i="8"/>
  <c r="E4" i="6"/>
  <c r="E2" i="6"/>
  <c r="E6" i="6"/>
  <c r="E3" i="6"/>
  <c r="E5" i="6"/>
  <c r="D6" i="5"/>
  <c r="D5" i="5"/>
  <c r="D4" i="5"/>
  <c r="D3" i="5"/>
  <c r="D2" i="5"/>
  <c r="O11" i="8" l="1"/>
  <c r="N11" i="10"/>
  <c r="P11" i="10" s="1"/>
  <c r="B12" i="10"/>
  <c r="O13" i="8"/>
  <c r="B15" i="10"/>
  <c r="B13" i="10"/>
  <c r="H11" i="10"/>
  <c r="L11" i="8"/>
  <c r="L11" i="10"/>
  <c r="L19" i="10" s="1"/>
  <c r="O27" i="10" s="1"/>
  <c r="D13" i="10"/>
  <c r="L12" i="8"/>
  <c r="I22" i="8" s="1"/>
  <c r="O12" i="8"/>
  <c r="I13" i="10"/>
  <c r="E15" i="10"/>
  <c r="Q5" i="10"/>
  <c r="G11" i="10"/>
  <c r="J11" i="10"/>
  <c r="E10" i="10"/>
  <c r="L14" i="8"/>
  <c r="H14" i="10"/>
  <c r="Q6" i="10"/>
  <c r="I11" i="10"/>
  <c r="G13" i="10"/>
  <c r="K13" i="10"/>
  <c r="C14" i="10"/>
  <c r="H15" i="10"/>
  <c r="D12" i="10"/>
  <c r="G15" i="10"/>
  <c r="I10" i="10"/>
  <c r="D15" i="10"/>
  <c r="G10" i="10"/>
  <c r="D14" i="10"/>
  <c r="K15" i="10"/>
  <c r="C15" i="10"/>
  <c r="I15" i="10"/>
  <c r="J13" i="10"/>
  <c r="Q7" i="10"/>
  <c r="H12" i="10"/>
  <c r="B14" i="10"/>
  <c r="J15" i="10"/>
  <c r="E13" i="10"/>
  <c r="E11" i="10"/>
  <c r="J10" i="10"/>
  <c r="K11" i="10"/>
  <c r="F15" i="10"/>
  <c r="H13" i="10"/>
  <c r="G12" i="10"/>
  <c r="I12" i="10"/>
  <c r="F12" i="10"/>
  <c r="E14" i="10"/>
  <c r="N14" i="10" s="1"/>
  <c r="C12" i="10"/>
  <c r="G14" i="10"/>
  <c r="C10" i="10"/>
  <c r="F13" i="10"/>
  <c r="C13" i="10"/>
  <c r="Q3" i="10"/>
  <c r="H10" i="10"/>
  <c r="K12" i="10"/>
  <c r="F14" i="10"/>
  <c r="F11" i="10"/>
  <c r="B11" i="10"/>
  <c r="B16" i="10" s="1"/>
  <c r="K10" i="10"/>
  <c r="E12" i="10"/>
  <c r="Q4" i="10"/>
  <c r="B10" i="10"/>
  <c r="C11" i="10"/>
  <c r="J14" i="10"/>
  <c r="J12" i="10"/>
  <c r="D11" i="10"/>
  <c r="D16" i="10" s="1"/>
  <c r="K14" i="10"/>
  <c r="F10" i="10"/>
  <c r="D10" i="10"/>
  <c r="I14" i="10"/>
  <c r="L23" i="8"/>
  <c r="N23" i="8"/>
  <c r="O23" i="8" s="1"/>
  <c r="D6" i="6"/>
  <c r="D3" i="6"/>
  <c r="D2" i="6"/>
  <c r="D4" i="6"/>
  <c r="D5" i="6"/>
  <c r="B6" i="5"/>
  <c r="B5" i="5"/>
  <c r="B4" i="5"/>
  <c r="B3" i="5"/>
  <c r="B2" i="5"/>
  <c r="K22" i="8" l="1"/>
  <c r="B20" i="8"/>
  <c r="B19" i="8"/>
  <c r="C20" i="8"/>
  <c r="B22" i="8"/>
  <c r="D22" i="8"/>
  <c r="H20" i="8"/>
  <c r="E21" i="8"/>
  <c r="N15" i="10"/>
  <c r="H19" i="8"/>
  <c r="G22" i="8"/>
  <c r="F20" i="8"/>
  <c r="F21" i="8"/>
  <c r="J22" i="8"/>
  <c r="I19" i="8"/>
  <c r="J23" i="8"/>
  <c r="K23" i="8"/>
  <c r="K20" i="8"/>
  <c r="D21" i="8"/>
  <c r="G20" i="8"/>
  <c r="J19" i="8"/>
  <c r="K19" i="8"/>
  <c r="F19" i="8"/>
  <c r="G23" i="8"/>
  <c r="K21" i="8"/>
  <c r="F22" i="8"/>
  <c r="C23" i="8"/>
  <c r="H23" i="8"/>
  <c r="I20" i="8"/>
  <c r="B21" i="8"/>
  <c r="J21" i="8"/>
  <c r="E23" i="8"/>
  <c r="I23" i="8"/>
  <c r="B23" i="8"/>
  <c r="H21" i="8"/>
  <c r="G21" i="8"/>
  <c r="C19" i="8"/>
  <c r="N12" i="10"/>
  <c r="P14" i="10" s="1"/>
  <c r="E20" i="8"/>
  <c r="D19" i="8"/>
  <c r="C21" i="8"/>
  <c r="H22" i="8"/>
  <c r="N19" i="10"/>
  <c r="P19" i="10" s="1"/>
  <c r="O19" i="10"/>
  <c r="E19" i="8"/>
  <c r="D23" i="8"/>
  <c r="F23" i="8"/>
  <c r="N13" i="10"/>
  <c r="H16" i="10"/>
  <c r="I21" i="8"/>
  <c r="J20" i="8"/>
  <c r="E22" i="8"/>
  <c r="D20" i="8"/>
  <c r="C16" i="10"/>
  <c r="K16" i="10"/>
  <c r="I16" i="10"/>
  <c r="E16" i="10"/>
  <c r="G19" i="8"/>
  <c r="C22" i="8"/>
  <c r="F16" i="10"/>
  <c r="L12" i="10"/>
  <c r="O20" i="10" s="1"/>
  <c r="J16" i="10"/>
  <c r="G16" i="10"/>
  <c r="L27" i="10"/>
  <c r="L31" i="8"/>
  <c r="N31" i="8"/>
  <c r="O31" i="8" s="1"/>
  <c r="N27" i="10"/>
  <c r="P27" i="10" s="1"/>
  <c r="B4" i="6"/>
  <c r="B2" i="6"/>
  <c r="B3" i="6"/>
  <c r="B5" i="6"/>
  <c r="B6" i="6"/>
  <c r="P15" i="10" l="1"/>
  <c r="O14" i="10"/>
  <c r="P12" i="10"/>
  <c r="P13" i="10"/>
  <c r="O13" i="10"/>
  <c r="L35" i="10"/>
  <c r="C18" i="1" s="1"/>
  <c r="O12" i="10"/>
  <c r="N20" i="10"/>
  <c r="O35" i="10"/>
  <c r="O15" i="10"/>
  <c r="L20" i="10"/>
  <c r="O28" i="10" s="1"/>
  <c r="L39" i="8"/>
  <c r="K17" i="1" s="1"/>
  <c r="N39" i="8"/>
  <c r="O39" i="8" s="1"/>
  <c r="F6" i="6" s="1"/>
  <c r="N35" i="10"/>
  <c r="E25" i="1"/>
  <c r="D25" i="1"/>
  <c r="G25" i="1"/>
  <c r="C25" i="1"/>
  <c r="F25" i="1"/>
  <c r="G27" i="1"/>
  <c r="F27" i="1"/>
  <c r="C27" i="1"/>
  <c r="E27" i="1"/>
  <c r="D27" i="1"/>
  <c r="F21" i="1"/>
  <c r="E21" i="1"/>
  <c r="G21" i="1"/>
  <c r="C21" i="1"/>
  <c r="D21" i="1"/>
  <c r="L15" i="10" l="1"/>
  <c r="P20" i="10"/>
  <c r="L14" i="10"/>
  <c r="L28" i="10"/>
  <c r="O36" i="10" s="1"/>
  <c r="N28" i="10"/>
  <c r="L13" i="10"/>
  <c r="B21" i="10"/>
  <c r="Q14" i="10"/>
  <c r="Q22" i="10" s="1"/>
  <c r="Q30" i="10" s="1"/>
  <c r="Q38" i="10" s="1"/>
  <c r="G5" i="6" s="1"/>
  <c r="D23" i="10"/>
  <c r="G22" i="10"/>
  <c r="L23" i="10"/>
  <c r="P35" i="10"/>
  <c r="F18" i="8"/>
  <c r="I18" i="8"/>
  <c r="E18" i="8"/>
  <c r="K18" i="8"/>
  <c r="B18" i="8"/>
  <c r="J18" i="8"/>
  <c r="G18" i="8"/>
  <c r="C18" i="8"/>
  <c r="D18" i="8"/>
  <c r="H18" i="8"/>
  <c r="B19" i="10" l="1"/>
  <c r="L36" i="10"/>
  <c r="E18" i="1" s="1"/>
  <c r="B20" i="10"/>
  <c r="N36" i="10"/>
  <c r="B22" i="10"/>
  <c r="H22" i="10"/>
  <c r="N23" i="10"/>
  <c r="P23" i="10" s="1"/>
  <c r="E23" i="10"/>
  <c r="O23" i="10"/>
  <c r="C19" i="10"/>
  <c r="H18" i="10"/>
  <c r="C21" i="10"/>
  <c r="P28" i="10"/>
  <c r="J21" i="10"/>
  <c r="C20" i="10"/>
  <c r="Q11" i="10"/>
  <c r="Q19" i="10" s="1"/>
  <c r="Q27" i="10" s="1"/>
  <c r="Q35" i="10" s="1"/>
  <c r="G2" i="6" s="1"/>
  <c r="I19" i="10"/>
  <c r="G24" i="10"/>
  <c r="F20" i="10"/>
  <c r="G21" i="10"/>
  <c r="F22" i="10"/>
  <c r="D22" i="10"/>
  <c r="K19" i="10"/>
  <c r="D20" i="10"/>
  <c r="J19" i="10"/>
  <c r="D21" i="10"/>
  <c r="C23" i="10"/>
  <c r="Q13" i="10"/>
  <c r="Q21" i="10" s="1"/>
  <c r="Q29" i="10" s="1"/>
  <c r="Q37" i="10" s="1"/>
  <c r="G4" i="6" s="1"/>
  <c r="I23" i="10"/>
  <c r="H23" i="10"/>
  <c r="E20" i="10"/>
  <c r="J23" i="10"/>
  <c r="G19" i="10"/>
  <c r="J18" i="10"/>
  <c r="G20" i="10"/>
  <c r="C22" i="10"/>
  <c r="C24" i="10"/>
  <c r="I20" i="10"/>
  <c r="H24" i="10"/>
  <c r="B24" i="10"/>
  <c r="O21" i="10"/>
  <c r="B23" i="10"/>
  <c r="N21" i="10"/>
  <c r="P21" i="10" s="1"/>
  <c r="K24" i="10"/>
  <c r="K18" i="10"/>
  <c r="K23" i="10"/>
  <c r="I24" i="10"/>
  <c r="E19" i="10"/>
  <c r="E21" i="10"/>
  <c r="F23" i="10"/>
  <c r="E18" i="10"/>
  <c r="C18" i="10"/>
  <c r="D24" i="10"/>
  <c r="E24" i="10"/>
  <c r="F19" i="10"/>
  <c r="H20" i="10"/>
  <c r="J22" i="10"/>
  <c r="I21" i="10"/>
  <c r="J24" i="10"/>
  <c r="I18" i="10"/>
  <c r="G18" i="10"/>
  <c r="Q15" i="10"/>
  <c r="Q23" i="10" s="1"/>
  <c r="Q31" i="10" s="1"/>
  <c r="Q39" i="10" s="1"/>
  <c r="G6" i="6" s="1"/>
  <c r="B18" i="10"/>
  <c r="Q12" i="10"/>
  <c r="Q20" i="10" s="1"/>
  <c r="Q28" i="10" s="1"/>
  <c r="Q36" i="10" s="1"/>
  <c r="G3" i="6" s="1"/>
  <c r="G23" i="10"/>
  <c r="E22" i="10"/>
  <c r="I22" i="10"/>
  <c r="H19" i="10"/>
  <c r="J20" i="10"/>
  <c r="K22" i="10"/>
  <c r="L21" i="10"/>
  <c r="K28" i="10" s="1"/>
  <c r="F21" i="10"/>
  <c r="D18" i="10"/>
  <c r="F18" i="10"/>
  <c r="F24" i="10"/>
  <c r="K20" i="10"/>
  <c r="H21" i="10"/>
  <c r="K21" i="10"/>
  <c r="D19" i="10"/>
  <c r="L22" i="10"/>
  <c r="O22" i="10"/>
  <c r="N22" i="10"/>
  <c r="P22" i="10" s="1"/>
  <c r="B31" i="10"/>
  <c r="O31" i="10"/>
  <c r="L31" i="10"/>
  <c r="N31" i="10"/>
  <c r="P31" i="10" s="1"/>
  <c r="F27" i="10"/>
  <c r="N22" i="8"/>
  <c r="N21" i="8"/>
  <c r="N20" i="8"/>
  <c r="N19" i="8"/>
  <c r="I29" i="10" l="1"/>
  <c r="G32" i="10"/>
  <c r="F30" i="10"/>
  <c r="C31" i="1"/>
  <c r="P36" i="10"/>
  <c r="E27" i="10"/>
  <c r="D26" i="10"/>
  <c r="C32" i="10"/>
  <c r="B26" i="10"/>
  <c r="O29" i="10"/>
  <c r="B30" i="10"/>
  <c r="F28" i="10"/>
  <c r="G26" i="10"/>
  <c r="G28" i="10"/>
  <c r="B28" i="10"/>
  <c r="B32" i="10"/>
  <c r="F32" i="10"/>
  <c r="B29" i="10"/>
  <c r="D29" i="10"/>
  <c r="J29" i="10"/>
  <c r="I31" i="10"/>
  <c r="H32" i="10"/>
  <c r="E31" i="1"/>
  <c r="B27" i="10"/>
  <c r="F31" i="1"/>
  <c r="C26" i="10"/>
  <c r="D32" i="10"/>
  <c r="D27" i="10"/>
  <c r="K26" i="10"/>
  <c r="I30" i="10"/>
  <c r="J32" i="10"/>
  <c r="J30" i="10"/>
  <c r="I32" i="10"/>
  <c r="J26" i="10"/>
  <c r="C31" i="10"/>
  <c r="E30" i="10"/>
  <c r="D31" i="1"/>
  <c r="C29" i="10"/>
  <c r="E32" i="10"/>
  <c r="G31" i="1"/>
  <c r="H26" i="10"/>
  <c r="E29" i="10"/>
  <c r="H30" i="10"/>
  <c r="K32" i="10"/>
  <c r="G29" i="10"/>
  <c r="H27" i="10"/>
  <c r="F26" i="10"/>
  <c r="K29" i="10"/>
  <c r="J31" i="10"/>
  <c r="J28" i="10"/>
  <c r="C27" i="10"/>
  <c r="D30" i="10"/>
  <c r="I28" i="10"/>
  <c r="I27" i="10"/>
  <c r="I26" i="10"/>
  <c r="K30" i="10"/>
  <c r="N29" i="10"/>
  <c r="P29" i="10" s="1"/>
  <c r="F31" i="10"/>
  <c r="C30" i="10"/>
  <c r="L29" i="10"/>
  <c r="N37" i="10" s="1"/>
  <c r="J27" i="10"/>
  <c r="K31" i="10"/>
  <c r="H29" i="10"/>
  <c r="E28" i="10"/>
  <c r="L30" i="10"/>
  <c r="E36" i="10" s="1"/>
  <c r="O30" i="10"/>
  <c r="N30" i="10"/>
  <c r="P30" i="10" s="1"/>
  <c r="G27" i="10"/>
  <c r="K27" i="10"/>
  <c r="E31" i="10"/>
  <c r="D28" i="10"/>
  <c r="H28" i="10"/>
  <c r="D31" i="10"/>
  <c r="G30" i="10"/>
  <c r="C28" i="10"/>
  <c r="H31" i="10"/>
  <c r="E26" i="10"/>
  <c r="F29" i="10"/>
  <c r="G31" i="10"/>
  <c r="O39" i="10"/>
  <c r="L39" i="10"/>
  <c r="K18" i="1" s="1"/>
  <c r="N39" i="10"/>
  <c r="P39" i="10" s="1"/>
  <c r="C35" i="10"/>
  <c r="B37" i="10"/>
  <c r="D38" i="10"/>
  <c r="D36" i="10"/>
  <c r="B34" i="10"/>
  <c r="B36" i="10"/>
  <c r="H36" i="10"/>
  <c r="F36" i="10"/>
  <c r="I39" i="10"/>
  <c r="F37" i="10"/>
  <c r="J39" i="10"/>
  <c r="O22" i="8"/>
  <c r="L22" i="8"/>
  <c r="L19" i="8"/>
  <c r="L20" i="8"/>
  <c r="L21" i="8"/>
  <c r="O20" i="8"/>
  <c r="O19" i="8"/>
  <c r="O21" i="8"/>
  <c r="K34" i="10" l="1"/>
  <c r="I36" i="10"/>
  <c r="D40" i="10"/>
  <c r="K37" i="10"/>
  <c r="F39" i="10"/>
  <c r="I37" i="10"/>
  <c r="I35" i="10"/>
  <c r="J36" i="10"/>
  <c r="J37" i="10"/>
  <c r="B35" i="10"/>
  <c r="G34" i="10"/>
  <c r="D37" i="10"/>
  <c r="G37" i="10"/>
  <c r="G35" i="10"/>
  <c r="F35" i="10"/>
  <c r="H40" i="10"/>
  <c r="E35" i="10"/>
  <c r="C38" i="10"/>
  <c r="F34" i="10"/>
  <c r="K38" i="10"/>
  <c r="E38" i="10"/>
  <c r="E34" i="10"/>
  <c r="K39" i="10"/>
  <c r="B40" i="10"/>
  <c r="F40" i="10"/>
  <c r="J35" i="10"/>
  <c r="H37" i="10"/>
  <c r="H35" i="10"/>
  <c r="H34" i="10"/>
  <c r="C39" i="10"/>
  <c r="J38" i="10"/>
  <c r="C34" i="10"/>
  <c r="B38" i="10"/>
  <c r="D39" i="10"/>
  <c r="C40" i="10"/>
  <c r="G39" i="10"/>
  <c r="G36" i="10"/>
  <c r="F38" i="10"/>
  <c r="C37" i="10"/>
  <c r="D35" i="10"/>
  <c r="I38" i="10"/>
  <c r="E40" i="10"/>
  <c r="J40" i="10"/>
  <c r="L37" i="10"/>
  <c r="G18" i="1" s="1"/>
  <c r="H39" i="10"/>
  <c r="I34" i="10"/>
  <c r="H38" i="10"/>
  <c r="E37" i="10"/>
  <c r="D34" i="10"/>
  <c r="K36" i="10"/>
  <c r="K40" i="10"/>
  <c r="C36" i="10"/>
  <c r="I40" i="10"/>
  <c r="G40" i="10"/>
  <c r="E39" i="10"/>
  <c r="G38" i="10"/>
  <c r="B39" i="10"/>
  <c r="J34" i="10"/>
  <c r="K35" i="10"/>
  <c r="P37" i="10"/>
  <c r="O37" i="10"/>
  <c r="O38" i="10"/>
  <c r="L38" i="10"/>
  <c r="I18" i="1" s="1"/>
  <c r="N38" i="10"/>
  <c r="P38" i="10" s="1"/>
  <c r="H31" i="8"/>
  <c r="F30" i="8"/>
  <c r="D29" i="8"/>
  <c r="J28" i="8"/>
  <c r="I31" i="8"/>
  <c r="G31" i="8"/>
  <c r="E30" i="8"/>
  <c r="C29" i="8"/>
  <c r="K27" i="8"/>
  <c r="D31" i="8"/>
  <c r="E29" i="8"/>
  <c r="F31" i="8"/>
  <c r="D30" i="8"/>
  <c r="J27" i="8"/>
  <c r="E31" i="8"/>
  <c r="C30" i="8"/>
  <c r="K28" i="8"/>
  <c r="I27" i="8"/>
  <c r="H27" i="8"/>
  <c r="C31" i="8"/>
  <c r="K29" i="8"/>
  <c r="I28" i="8"/>
  <c r="G27" i="8"/>
  <c r="H30" i="8"/>
  <c r="J29" i="8"/>
  <c r="H28" i="8"/>
  <c r="F27" i="8"/>
  <c r="F29" i="8"/>
  <c r="G30" i="8"/>
  <c r="K30" i="8"/>
  <c r="I29" i="8"/>
  <c r="G28" i="8"/>
  <c r="E27" i="8"/>
  <c r="J31" i="8"/>
  <c r="C28" i="8"/>
  <c r="J30" i="8"/>
  <c r="H29" i="8"/>
  <c r="F28" i="8"/>
  <c r="D27" i="8"/>
  <c r="K31" i="8"/>
  <c r="I30" i="8"/>
  <c r="G29" i="8"/>
  <c r="E28" i="8"/>
  <c r="C27" i="8"/>
  <c r="D28" i="8"/>
  <c r="B27" i="8"/>
  <c r="B28" i="8"/>
  <c r="B31" i="8"/>
  <c r="B30" i="8"/>
  <c r="B29" i="8"/>
  <c r="N30" i="8"/>
  <c r="O30" i="8" s="1"/>
  <c r="L30" i="8"/>
  <c r="F26" i="8"/>
  <c r="B26" i="8"/>
  <c r="K26" i="8"/>
  <c r="D26" i="8"/>
  <c r="G26" i="8"/>
  <c r="J26" i="8"/>
  <c r="I26" i="8"/>
  <c r="E26" i="8"/>
  <c r="H26" i="8"/>
  <c r="C26" i="8"/>
  <c r="L38" i="8" l="1"/>
  <c r="I17" i="1" s="1"/>
  <c r="N38" i="8"/>
  <c r="O38" i="8" s="1"/>
  <c r="F5" i="6" s="1"/>
  <c r="N28" i="8"/>
  <c r="N27" i="8"/>
  <c r="N29" i="8"/>
  <c r="L29" i="8" s="1"/>
  <c r="L28" i="8" l="1"/>
  <c r="L27" i="8"/>
  <c r="O29" i="8"/>
  <c r="O28" i="8"/>
  <c r="O27" i="8"/>
  <c r="F39" i="8" l="1"/>
  <c r="D38" i="8"/>
  <c r="J35" i="8"/>
  <c r="J37" i="8"/>
  <c r="E39" i="8"/>
  <c r="C38" i="8"/>
  <c r="K36" i="8"/>
  <c r="I35" i="8"/>
  <c r="D39" i="8"/>
  <c r="J36" i="8"/>
  <c r="H35" i="8"/>
  <c r="F35" i="8"/>
  <c r="C39" i="8"/>
  <c r="K37" i="8"/>
  <c r="I36" i="8"/>
  <c r="G35" i="8"/>
  <c r="H36" i="8"/>
  <c r="K35" i="8"/>
  <c r="K38" i="8"/>
  <c r="I37" i="8"/>
  <c r="G36" i="8"/>
  <c r="E35" i="8"/>
  <c r="E38" i="8"/>
  <c r="J38" i="8"/>
  <c r="H37" i="8"/>
  <c r="F36" i="8"/>
  <c r="D35" i="8"/>
  <c r="H39" i="8"/>
  <c r="K39" i="8"/>
  <c r="I38" i="8"/>
  <c r="G37" i="8"/>
  <c r="E36" i="8"/>
  <c r="C35" i="8"/>
  <c r="G39" i="8"/>
  <c r="J39" i="8"/>
  <c r="H38" i="8"/>
  <c r="F37" i="8"/>
  <c r="D36" i="8"/>
  <c r="I39" i="8"/>
  <c r="G38" i="8"/>
  <c r="E37" i="8"/>
  <c r="C36" i="8"/>
  <c r="F38" i="8"/>
  <c r="D37" i="8"/>
  <c r="C37" i="8"/>
  <c r="B36" i="8"/>
  <c r="B37" i="8"/>
  <c r="B39" i="8"/>
  <c r="B35" i="8"/>
  <c r="B38" i="8"/>
  <c r="D34" i="8"/>
  <c r="I34" i="8"/>
  <c r="K34" i="8"/>
  <c r="F34" i="8"/>
  <c r="J34" i="8"/>
  <c r="G34" i="8"/>
  <c r="C34" i="8"/>
  <c r="H34" i="8"/>
  <c r="B34" i="8"/>
  <c r="E34" i="8"/>
  <c r="N37" i="8" l="1"/>
  <c r="N36" i="8"/>
  <c r="N35" i="8"/>
  <c r="O36" i="8" l="1"/>
  <c r="F3" i="6" s="1"/>
  <c r="O35" i="8"/>
  <c r="F2" i="6" s="1"/>
  <c r="O37" i="8"/>
  <c r="L37" i="8" l="1"/>
  <c r="L36" i="8"/>
  <c r="F4" i="6"/>
  <c r="L35" i="8"/>
  <c r="C17" i="1" l="1"/>
  <c r="E17" i="1"/>
  <c r="G29" i="1"/>
  <c r="C29" i="1"/>
  <c r="D29" i="1"/>
  <c r="F29" i="1"/>
  <c r="E29" i="1"/>
  <c r="G17" i="1"/>
</calcChain>
</file>

<file path=xl/sharedStrings.xml><?xml version="1.0" encoding="utf-8"?>
<sst xmlns="http://schemas.openxmlformats.org/spreadsheetml/2006/main" count="392" uniqueCount="94">
  <si>
    <t>option B</t>
  </si>
  <si>
    <t>option C</t>
  </si>
  <si>
    <t>option D</t>
  </si>
  <si>
    <t>option E</t>
  </si>
  <si>
    <t>très bien</t>
  </si>
  <si>
    <t>bien</t>
  </si>
  <si>
    <t>assez bien</t>
  </si>
  <si>
    <t>passable</t>
  </si>
  <si>
    <t>insuffisant</t>
  </si>
  <si>
    <t>à rejeter</t>
  </si>
  <si>
    <t>total Borda</t>
  </si>
  <si>
    <t>Borda</t>
  </si>
  <si>
    <t>Condorcet</t>
  </si>
  <si>
    <t>A contre B</t>
  </si>
  <si>
    <t>A contre C</t>
  </si>
  <si>
    <t>A contre D</t>
  </si>
  <si>
    <t>A contre E</t>
  </si>
  <si>
    <t>B contre C</t>
  </si>
  <si>
    <t>B contre D</t>
  </si>
  <si>
    <t>B contre E</t>
  </si>
  <si>
    <t>C contre D</t>
  </si>
  <si>
    <t>C contre E</t>
  </si>
  <si>
    <t>D contre E</t>
  </si>
  <si>
    <t>2ème</t>
  </si>
  <si>
    <t>3ème</t>
  </si>
  <si>
    <t>4ème</t>
  </si>
  <si>
    <t>5ème</t>
  </si>
  <si>
    <t>A</t>
  </si>
  <si>
    <t>B</t>
  </si>
  <si>
    <t>C</t>
  </si>
  <si>
    <t>D</t>
  </si>
  <si>
    <t>E</t>
  </si>
  <si>
    <t>Jugement majoritaire</t>
  </si>
  <si>
    <t>Victoires</t>
  </si>
  <si>
    <t>option A</t>
  </si>
  <si>
    <t>refus de vote</t>
  </si>
  <si>
    <t>Duels Condorcet</t>
  </si>
  <si>
    <t>1ère option</t>
  </si>
  <si>
    <t>2ème option</t>
  </si>
  <si>
    <t>3ème option</t>
  </si>
  <si>
    <t>4ème option</t>
  </si>
  <si>
    <t>5ème option</t>
  </si>
  <si>
    <t>votant·e 1</t>
  </si>
  <si>
    <t>votant·e 2</t>
  </si>
  <si>
    <t>votant·e 3</t>
  </si>
  <si>
    <t>votant·e 4</t>
  </si>
  <si>
    <t>votant·e 5</t>
  </si>
  <si>
    <t>votant·e 6</t>
  </si>
  <si>
    <t>votant·e 7</t>
  </si>
  <si>
    <t>votant·e 8</t>
  </si>
  <si>
    <t>votant·e 9</t>
  </si>
  <si>
    <t>votant·e 10</t>
  </si>
  <si>
    <t>Nb d'options classées (Borda)</t>
  </si>
  <si>
    <t>Classement selon le
Jugement majoritaire</t>
  </si>
  <si>
    <t>Classement selon la
méthode Condorcet</t>
  </si>
  <si>
    <t>1ère</t>
  </si>
  <si>
    <t>Vérification</t>
  </si>
  <si>
    <t>Classement selon le
vote par approbation</t>
  </si>
  <si>
    <t>total Approbation</t>
  </si>
  <si>
    <t>Approbation</t>
  </si>
  <si>
    <t>Bulletins de vote</t>
  </si>
  <si>
    <t>Tour 1 Vote alternatif</t>
  </si>
  <si>
    <t>Classement selon la
méthode Borda</t>
  </si>
  <si>
    <t>Résultat du tour</t>
  </si>
  <si>
    <t>Tour 2 Vote Alternatif</t>
  </si>
  <si>
    <t>Tour 3 Vote Alternatif</t>
  </si>
  <si>
    <t>Tour 4 Vote Alternatif</t>
  </si>
  <si>
    <t>Tour 5 Vote Alternatif</t>
  </si>
  <si>
    <t>Coombs</t>
  </si>
  <si>
    <t>Option</t>
  </si>
  <si>
    <t>Alternatif</t>
  </si>
  <si>
    <t>total Condorcet</t>
  </si>
  <si>
    <t>total Jugement Majoritaire</t>
  </si>
  <si>
    <t>Classement selon le
vote alternatif</t>
  </si>
  <si>
    <t>Classement selon la
méthode de Coombs</t>
  </si>
  <si>
    <r>
      <t>Appréciation
(</t>
    </r>
    <r>
      <rPr>
        <b/>
        <sz val="8"/>
        <color rgb="FF00B0F0"/>
        <rFont val="Calibri"/>
        <family val="2"/>
        <scheme val="minor"/>
      </rPr>
      <t>Jugement Majoritaire</t>
    </r>
    <r>
      <rPr>
        <b/>
        <sz val="8"/>
        <color theme="1"/>
        <rFont val="Calibri"/>
        <family val="2"/>
        <scheme val="minor"/>
      </rPr>
      <t>)</t>
    </r>
  </si>
  <si>
    <t>Classement</t>
  </si>
  <si>
    <t>Tour</t>
  </si>
  <si>
    <t>nb 1ère place</t>
  </si>
  <si>
    <r>
      <t>Classement (</t>
    </r>
    <r>
      <rPr>
        <b/>
        <sz val="8"/>
        <color rgb="FF7030A0"/>
        <rFont val="Calibri"/>
        <family val="2"/>
        <scheme val="minor"/>
      </rPr>
      <t>Borda</t>
    </r>
    <r>
      <rPr>
        <b/>
        <sz val="8"/>
        <color theme="1"/>
        <rFont val="Calibri"/>
        <family val="2"/>
        <scheme val="minor"/>
      </rPr>
      <t xml:space="preserve">/ </t>
    </r>
    <r>
      <rPr>
        <b/>
        <sz val="8"/>
        <color theme="9" tint="-0.249977111117893"/>
        <rFont val="Calibri"/>
        <family val="2"/>
        <scheme val="minor"/>
      </rPr>
      <t>Approbation</t>
    </r>
    <r>
      <rPr>
        <b/>
        <sz val="8"/>
        <color theme="1"/>
        <rFont val="Calibri"/>
        <family val="2"/>
        <scheme val="minor"/>
      </rPr>
      <t xml:space="preserve">/ </t>
    </r>
    <r>
      <rPr>
        <b/>
        <sz val="8"/>
        <color rgb="FFC0504D"/>
        <rFont val="Calibri"/>
        <family val="2"/>
        <scheme val="minor"/>
      </rPr>
      <t>Condorcet</t>
    </r>
    <r>
      <rPr>
        <b/>
        <sz val="8"/>
        <rFont val="Calibri"/>
        <family val="2"/>
        <scheme val="minor"/>
      </rPr>
      <t xml:space="preserve">/ </t>
    </r>
    <r>
      <rPr>
        <b/>
        <sz val="8"/>
        <color rgb="FF494529"/>
        <rFont val="Calibri"/>
        <family val="2"/>
        <scheme val="minor"/>
      </rPr>
      <t>Alternatif</t>
    </r>
    <r>
      <rPr>
        <b/>
        <sz val="8"/>
        <rFont val="Calibri"/>
        <family val="2"/>
        <scheme val="minor"/>
      </rPr>
      <t xml:space="preserve">/ </t>
    </r>
    <r>
      <rPr>
        <b/>
        <sz val="8"/>
        <color rgb="FF708C0A"/>
        <rFont val="Calibri"/>
        <family val="2"/>
        <scheme val="minor"/>
      </rPr>
      <t>Coombs</t>
    </r>
    <r>
      <rPr>
        <b/>
        <sz val="8"/>
        <color theme="1"/>
        <rFont val="Calibri"/>
        <family val="2"/>
        <scheme val="minor"/>
      </rPr>
      <t>)</t>
    </r>
  </si>
  <si>
    <r>
      <t xml:space="preserve">Résultats </t>
    </r>
    <r>
      <rPr>
        <b/>
        <sz val="10"/>
        <color rgb="FF7030A0"/>
        <rFont val="Calibri"/>
        <family val="2"/>
        <scheme val="minor"/>
      </rPr>
      <t>Borda</t>
    </r>
    <r>
      <rPr>
        <sz val="10"/>
        <color theme="1"/>
        <rFont val="Calibri"/>
        <family val="2"/>
        <scheme val="minor"/>
      </rPr>
      <t xml:space="preserve">/ </t>
    </r>
    <r>
      <rPr>
        <b/>
        <sz val="10"/>
        <color rgb="FF00B0F0"/>
        <rFont val="Calibri"/>
        <family val="2"/>
        <scheme val="minor"/>
      </rPr>
      <t>Jugement majoritaire</t>
    </r>
  </si>
  <si>
    <r>
      <t xml:space="preserve">Résultats </t>
    </r>
    <r>
      <rPr>
        <sz val="10"/>
        <color theme="9" tint="-0.249977111117893"/>
        <rFont val="Calibri"/>
        <family val="2"/>
        <scheme val="minor"/>
      </rPr>
      <t>A</t>
    </r>
    <r>
      <rPr>
        <b/>
        <sz val="10"/>
        <color theme="9" tint="-0.249977111117893"/>
        <rFont val="Calibri"/>
        <family val="2"/>
        <scheme val="minor"/>
      </rPr>
      <t>pprobation</t>
    </r>
  </si>
  <si>
    <r>
      <t xml:space="preserve">Résultats </t>
    </r>
    <r>
      <rPr>
        <b/>
        <sz val="10"/>
        <color rgb="FFC0504D"/>
        <rFont val="Calibri"/>
        <family val="2"/>
        <scheme val="minor"/>
      </rPr>
      <t>Condorcet</t>
    </r>
  </si>
  <si>
    <r>
      <t xml:space="preserve">Résultats </t>
    </r>
    <r>
      <rPr>
        <b/>
        <sz val="10"/>
        <color rgb="FF494529"/>
        <rFont val="Calibri"/>
        <family val="2"/>
        <scheme val="minor"/>
      </rPr>
      <t>Alternatif</t>
    </r>
  </si>
  <si>
    <r>
      <t xml:space="preserve">Résultats </t>
    </r>
    <r>
      <rPr>
        <b/>
        <sz val="10"/>
        <color rgb="FF708C0A"/>
        <rFont val="Calibri"/>
        <family val="2"/>
        <scheme val="minor"/>
      </rPr>
      <t>Coombs</t>
    </r>
  </si>
  <si>
    <t>nb dernière place</t>
  </si>
  <si>
    <t>der. place</t>
  </si>
  <si>
    <t>Classement base</t>
  </si>
  <si>
    <t>Validité du bulletin</t>
  </si>
  <si>
    <t>Tour 1 Méthode de Coombs</t>
  </si>
  <si>
    <t>Tour 2 Méthode de Coombs</t>
  </si>
  <si>
    <t>Tour 3 Méthode de Coombs</t>
  </si>
  <si>
    <t>Tour 4 Méthode de Coombs</t>
  </si>
  <si>
    <t>Tour 5 Méthode de Coombs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</si>
</sst>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33939"/>
      <name val="Calibri"/>
      <family val="2"/>
      <scheme val="minor"/>
    </font>
    <font>
      <sz val="11"/>
      <color rgb="FFE47A38"/>
      <name val="Calibri"/>
      <family val="2"/>
      <scheme val="minor"/>
    </font>
    <font>
      <sz val="11"/>
      <color rgb="FF38E440"/>
      <name val="Calibri"/>
      <family val="2"/>
      <scheme val="minor"/>
    </font>
    <font>
      <sz val="11"/>
      <color rgb="FFA3CE18"/>
      <name val="Calibri"/>
      <family val="2"/>
      <scheme val="minor"/>
    </font>
    <font>
      <sz val="11"/>
      <color rgb="FFD4CF16"/>
      <name val="Calibri"/>
      <family val="2"/>
      <scheme val="minor"/>
    </font>
    <font>
      <sz val="11"/>
      <color rgb="FFD2AB1C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-0.249977111117893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rgb="FF455206"/>
      <name val="Calibri"/>
      <family val="2"/>
      <scheme val="minor"/>
    </font>
    <font>
      <b/>
      <sz val="11"/>
      <color rgb="FF494529"/>
      <name val="Calibri"/>
      <family val="2"/>
      <scheme val="minor"/>
    </font>
    <font>
      <b/>
      <sz val="18"/>
      <color rgb="FF49452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rgb="FFC0504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B0F0"/>
      <name val="Calibri"/>
      <family val="2"/>
      <scheme val="minor"/>
    </font>
    <font>
      <b/>
      <sz val="8"/>
      <color rgb="FF494529"/>
      <name val="Calibri"/>
      <family val="2"/>
      <scheme val="minor"/>
    </font>
    <font>
      <b/>
      <sz val="11"/>
      <color rgb="FF708C0A"/>
      <name val="Calibri"/>
      <family val="2"/>
      <scheme val="minor"/>
    </font>
    <font>
      <b/>
      <sz val="18"/>
      <color rgb="FF708C0A"/>
      <name val="Calibri"/>
      <family val="2"/>
      <scheme val="minor"/>
    </font>
    <font>
      <b/>
      <sz val="8"/>
      <color rgb="FF708C0A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rgb="FFC0504D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rgb="FF494529"/>
      <name val="Calibri"/>
      <family val="2"/>
      <scheme val="minor"/>
    </font>
    <font>
      <b/>
      <sz val="10"/>
      <color rgb="FF708C0A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E2FBC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0" fillId="0" borderId="0" xfId="0" applyFill="1" applyBorder="1"/>
    <xf numFmtId="0" fontId="8" fillId="0" borderId="0" xfId="0" applyFont="1" applyBorder="1"/>
    <xf numFmtId="0" fontId="8" fillId="2" borderId="4" xfId="0" applyFont="1" applyFill="1" applyBorder="1"/>
    <xf numFmtId="0" fontId="0" fillId="0" borderId="1" xfId="0" applyBorder="1" applyProtection="1"/>
    <xf numFmtId="0" fontId="0" fillId="0" borderId="0" xfId="0" applyProtection="1"/>
    <xf numFmtId="0" fontId="0" fillId="0" borderId="1" xfId="0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1" fontId="8" fillId="0" borderId="0" xfId="0" applyNumberFormat="1" applyFont="1" applyBorder="1" applyAlignment="1"/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22" fillId="6" borderId="15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" fontId="8" fillId="2" borderId="2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8" fillId="2" borderId="25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0" fillId="0" borderId="2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25" fillId="0" borderId="0" xfId="0" applyFont="1" applyFill="1" applyAlignment="1"/>
    <xf numFmtId="0" fontId="0" fillId="0" borderId="0" xfId="0" applyFill="1"/>
    <xf numFmtId="0" fontId="26" fillId="8" borderId="1" xfId="0" applyFont="1" applyFill="1" applyBorder="1" applyAlignment="1">
      <alignment horizontal="center" vertical="center"/>
    </xf>
    <xf numFmtId="0" fontId="21" fillId="6" borderId="13" xfId="0" applyFont="1" applyFill="1" applyBorder="1"/>
    <xf numFmtId="0" fontId="21" fillId="6" borderId="14" xfId="0" applyFont="1" applyFill="1" applyBorder="1" applyAlignment="1">
      <alignment horizontal="center" vertical="center"/>
    </xf>
    <xf numFmtId="0" fontId="10" fillId="4" borderId="13" xfId="0" applyFont="1" applyFill="1" applyBorder="1"/>
    <xf numFmtId="0" fontId="26" fillId="8" borderId="3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27" fillId="8" borderId="7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5" fillId="9" borderId="3" xfId="0" applyFont="1" applyFill="1" applyBorder="1" applyAlignment="1">
      <alignment horizontal="center"/>
    </xf>
    <xf numFmtId="0" fontId="35" fillId="9" borderId="5" xfId="0" applyFont="1" applyFill="1" applyBorder="1" applyAlignment="1">
      <alignment horizontal="center"/>
    </xf>
    <xf numFmtId="0" fontId="36" fillId="9" borderId="7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9" fillId="2" borderId="3" xfId="0" applyNumberFormat="1" applyFont="1" applyFill="1" applyBorder="1" applyAlignment="1">
      <alignment horizontal="center" vertical="center" wrapText="1"/>
    </xf>
    <xf numFmtId="0" fontId="40" fillId="5" borderId="28" xfId="0" applyNumberFormat="1" applyFont="1" applyFill="1" applyBorder="1" applyAlignment="1">
      <alignment horizontal="center" vertical="center" wrapText="1"/>
    </xf>
    <xf numFmtId="0" fontId="40" fillId="5" borderId="10" xfId="0" applyNumberFormat="1" applyFont="1" applyFill="1" applyBorder="1" applyAlignment="1">
      <alignment horizontal="center" vertical="center" wrapText="1"/>
    </xf>
    <xf numFmtId="0" fontId="40" fillId="5" borderId="21" xfId="0" applyNumberFormat="1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42" fillId="6" borderId="14" xfId="0" applyNumberFormat="1" applyFont="1" applyFill="1" applyBorder="1" applyAlignment="1">
      <alignment horizontal="center" vertical="center" wrapText="1"/>
    </xf>
    <xf numFmtId="0" fontId="42" fillId="0" borderId="20" xfId="0" applyNumberFormat="1" applyFont="1" applyFill="1" applyBorder="1" applyAlignment="1">
      <alignment vertical="center" wrapText="1"/>
    </xf>
    <xf numFmtId="0" fontId="42" fillId="6" borderId="31" xfId="0" applyNumberFormat="1" applyFont="1" applyFill="1" applyBorder="1" applyAlignment="1">
      <alignment horizontal="center" vertical="center" wrapText="1"/>
    </xf>
    <xf numFmtId="0" fontId="42" fillId="0" borderId="19" xfId="0" applyNumberFormat="1" applyFont="1" applyFill="1" applyBorder="1" applyAlignment="1">
      <alignment vertical="center" wrapText="1"/>
    </xf>
    <xf numFmtId="0" fontId="44" fillId="4" borderId="14" xfId="0" applyFont="1" applyFill="1" applyBorder="1" applyAlignment="1">
      <alignment horizontal="center" vertical="center" wrapText="1"/>
    </xf>
    <xf numFmtId="0" fontId="42" fillId="0" borderId="0" xfId="0" applyNumberFormat="1" applyFont="1" applyFill="1" applyBorder="1" applyAlignment="1">
      <alignment vertical="center" wrapText="1"/>
    </xf>
    <xf numFmtId="0" fontId="44" fillId="4" borderId="31" xfId="0" applyFont="1" applyFill="1" applyBorder="1" applyAlignment="1">
      <alignment horizontal="center" vertical="center" wrapText="1"/>
    </xf>
    <xf numFmtId="0" fontId="42" fillId="0" borderId="29" xfId="0" applyNumberFormat="1" applyFont="1" applyFill="1" applyBorder="1" applyAlignment="1">
      <alignment vertical="center" wrapText="1"/>
    </xf>
    <xf numFmtId="0" fontId="42" fillId="0" borderId="32" xfId="0" applyNumberFormat="1" applyFont="1" applyFill="1" applyBorder="1" applyAlignment="1">
      <alignment vertical="center" wrapText="1"/>
    </xf>
    <xf numFmtId="0" fontId="45" fillId="8" borderId="14" xfId="0" applyFont="1" applyFill="1" applyBorder="1" applyAlignment="1">
      <alignment horizontal="center" vertical="center" wrapText="1"/>
    </xf>
    <xf numFmtId="0" fontId="45" fillId="8" borderId="31" xfId="0" applyNumberFormat="1" applyFont="1" applyFill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46" fillId="9" borderId="8" xfId="0" applyFont="1" applyFill="1" applyBorder="1" applyAlignment="1">
      <alignment horizontal="center" vertical="center" wrapText="1"/>
    </xf>
    <xf numFmtId="0" fontId="46" fillId="9" borderId="3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9" fillId="3" borderId="27" xfId="0" applyFont="1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4" borderId="34" xfId="0" applyFont="1" applyFill="1" applyBorder="1"/>
    <xf numFmtId="0" fontId="10" fillId="4" borderId="1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0" fontId="1" fillId="0" borderId="6" xfId="0" applyFont="1" applyBorder="1"/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35" fillId="9" borderId="11" xfId="0" applyFont="1" applyFill="1" applyBorder="1" applyAlignment="1">
      <alignment horizontal="center" vertical="center" wrapText="1"/>
    </xf>
    <xf numFmtId="0" fontId="35" fillId="9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6" fillId="8" borderId="0" xfId="0" applyFont="1" applyFill="1" applyAlignment="1">
      <alignment horizontal="center"/>
    </xf>
    <xf numFmtId="0" fontId="35" fillId="9" borderId="0" xfId="0" applyFont="1" applyFill="1" applyAlignment="1">
      <alignment horizontal="center"/>
    </xf>
  </cellXfs>
  <cellStyles count="1">
    <cellStyle name="Normal" xfId="0" builtinId="0"/>
  </cellStyles>
  <dxfs count="226"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ill>
        <patternFill>
          <bgColor rgb="FFFF8181"/>
        </patternFill>
      </fill>
    </dxf>
    <dxf>
      <fill>
        <patternFill>
          <bgColor rgb="FF71FFB1"/>
        </patternFill>
      </fill>
    </dxf>
    <dxf>
      <fill>
        <patternFill>
          <bgColor rgb="FF71FFB1"/>
        </patternFill>
      </fill>
    </dxf>
    <dxf>
      <fill>
        <patternFill>
          <bgColor rgb="FFFF9393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ill>
        <patternFill>
          <bgColor rgb="FFFF8181"/>
        </patternFill>
      </fill>
    </dxf>
    <dxf>
      <fill>
        <patternFill>
          <bgColor rgb="FF71FFB1"/>
        </patternFill>
      </fill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ill>
        <patternFill>
          <bgColor rgb="FF71FFB1"/>
        </patternFill>
      </fill>
    </dxf>
    <dxf>
      <fill>
        <patternFill>
          <bgColor rgb="FFFF9393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B050"/>
      <color rgb="FFFF0000"/>
      <color rgb="FFFF8601"/>
      <color rgb="FFFFDB01"/>
      <color rgb="FFD5FF01"/>
      <color rgb="FF8DE424"/>
      <color rgb="FF708C0A"/>
      <color rgb="FFE2FBC9"/>
      <color rgb="FF494529"/>
      <color rgb="FF5B6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T32"/>
  <sheetViews>
    <sheetView zoomScale="90" zoomScaleNormal="90" workbookViewId="0">
      <selection activeCell="J25" sqref="J25"/>
    </sheetView>
  </sheetViews>
  <sheetFormatPr defaultColWidth="11.42578125" defaultRowHeight="15" x14ac:dyDescent="0.25"/>
  <cols>
    <col min="1" max="1" width="3.7109375" customWidth="1"/>
    <col min="2" max="2" width="20.140625" customWidth="1"/>
    <col min="3" max="13" width="16.7109375" customWidth="1"/>
    <col min="14" max="14" width="19.28515625" customWidth="1"/>
    <col min="15" max="15" width="11.42578125" customWidth="1"/>
  </cols>
  <sheetData>
    <row r="1" spans="2:20" ht="15.75" thickBot="1" x14ac:dyDescent="0.3"/>
    <row r="2" spans="2:20" ht="36" customHeight="1" thickTop="1" thickBot="1" x14ac:dyDescent="0.3">
      <c r="B2" s="118" t="s">
        <v>60</v>
      </c>
      <c r="C2" s="108" t="s">
        <v>34</v>
      </c>
      <c r="D2" s="108"/>
      <c r="E2" s="108" t="s">
        <v>0</v>
      </c>
      <c r="F2" s="108"/>
      <c r="G2" s="108" t="s">
        <v>1</v>
      </c>
      <c r="H2" s="108"/>
      <c r="I2" s="108" t="s">
        <v>2</v>
      </c>
      <c r="J2" s="108"/>
      <c r="K2" s="108" t="s">
        <v>3</v>
      </c>
      <c r="L2" s="109"/>
      <c r="M2" s="93"/>
      <c r="N2" s="54"/>
      <c r="T2" s="3"/>
    </row>
    <row r="3" spans="2:20" ht="75.75" customHeight="1" thickTop="1" x14ac:dyDescent="0.25">
      <c r="B3" s="119"/>
      <c r="C3" s="66" t="s">
        <v>79</v>
      </c>
      <c r="D3" s="66" t="s">
        <v>75</v>
      </c>
      <c r="E3" s="66" t="s">
        <v>79</v>
      </c>
      <c r="F3" s="66" t="s">
        <v>75</v>
      </c>
      <c r="G3" s="66" t="s">
        <v>79</v>
      </c>
      <c r="H3" s="66" t="s">
        <v>75</v>
      </c>
      <c r="I3" s="66" t="s">
        <v>79</v>
      </c>
      <c r="J3" s="66" t="s">
        <v>75</v>
      </c>
      <c r="K3" s="66" t="s">
        <v>79</v>
      </c>
      <c r="L3" s="67" t="s">
        <v>75</v>
      </c>
      <c r="M3" s="48" t="s">
        <v>52</v>
      </c>
      <c r="N3" s="49" t="s">
        <v>88</v>
      </c>
      <c r="T3" s="3"/>
    </row>
    <row r="4" spans="2:20" x14ac:dyDescent="0.25">
      <c r="B4" s="55" t="s">
        <v>42</v>
      </c>
      <c r="C4" s="15" t="s">
        <v>55</v>
      </c>
      <c r="D4" s="15" t="s">
        <v>4</v>
      </c>
      <c r="E4" s="15" t="s">
        <v>35</v>
      </c>
      <c r="F4" s="15" t="s">
        <v>9</v>
      </c>
      <c r="G4" s="15" t="s">
        <v>23</v>
      </c>
      <c r="H4" s="15" t="s">
        <v>5</v>
      </c>
      <c r="I4" s="15" t="s">
        <v>35</v>
      </c>
      <c r="J4" s="15" t="s">
        <v>9</v>
      </c>
      <c r="K4" s="15" t="s">
        <v>35</v>
      </c>
      <c r="L4" s="100" t="s">
        <v>9</v>
      </c>
      <c r="M4" s="50">
        <f t="shared" ref="M4:M13" si="0">5-COUNTIF(C4,"refus de vote")-COUNTIF(E4,"refus de vote")-COUNTIF(G4,"refus de vote")-COUNTIF(I4,"refus de vote")-COUNTIF(K4,"refus de vote")</f>
        <v>2</v>
      </c>
      <c r="N4" s="51" t="str">
        <f>'Vérif Bulletins'!H2</f>
        <v>Valide</v>
      </c>
      <c r="T4" s="4"/>
    </row>
    <row r="5" spans="2:20" x14ac:dyDescent="0.25">
      <c r="B5" s="55" t="s">
        <v>43</v>
      </c>
      <c r="C5" s="15" t="s">
        <v>55</v>
      </c>
      <c r="D5" s="15" t="s">
        <v>4</v>
      </c>
      <c r="E5" s="15" t="s">
        <v>24</v>
      </c>
      <c r="F5" s="15" t="s">
        <v>6</v>
      </c>
      <c r="G5" s="15" t="s">
        <v>23</v>
      </c>
      <c r="H5" s="15" t="s">
        <v>5</v>
      </c>
      <c r="I5" s="15" t="s">
        <v>35</v>
      </c>
      <c r="J5" s="15" t="s">
        <v>9</v>
      </c>
      <c r="K5" s="15" t="s">
        <v>35</v>
      </c>
      <c r="L5" s="100" t="s">
        <v>9</v>
      </c>
      <c r="M5" s="50">
        <f t="shared" si="0"/>
        <v>3</v>
      </c>
      <c r="N5" s="51" t="str">
        <f>'Vérif Bulletins'!H3</f>
        <v>Valide</v>
      </c>
      <c r="T5" s="5"/>
    </row>
    <row r="6" spans="2:20" x14ac:dyDescent="0.25">
      <c r="B6" s="55" t="s">
        <v>44</v>
      </c>
      <c r="C6" s="15" t="s">
        <v>55</v>
      </c>
      <c r="D6" s="15" t="s">
        <v>4</v>
      </c>
      <c r="E6" s="15" t="s">
        <v>23</v>
      </c>
      <c r="F6" s="15" t="s">
        <v>5</v>
      </c>
      <c r="G6" s="15" t="s">
        <v>24</v>
      </c>
      <c r="H6" s="15" t="s">
        <v>6</v>
      </c>
      <c r="I6" s="15" t="s">
        <v>25</v>
      </c>
      <c r="J6" s="15" t="s">
        <v>7</v>
      </c>
      <c r="K6" s="15" t="s">
        <v>35</v>
      </c>
      <c r="L6" s="100" t="s">
        <v>9</v>
      </c>
      <c r="M6" s="50">
        <f t="shared" si="0"/>
        <v>4</v>
      </c>
      <c r="N6" s="51" t="str">
        <f>'Vérif Bulletins'!H4</f>
        <v>Valide</v>
      </c>
      <c r="T6" s="6"/>
    </row>
    <row r="7" spans="2:20" x14ac:dyDescent="0.25">
      <c r="B7" s="55" t="s">
        <v>45</v>
      </c>
      <c r="C7" s="15" t="s">
        <v>55</v>
      </c>
      <c r="D7" s="15" t="s">
        <v>4</v>
      </c>
      <c r="E7" s="15" t="s">
        <v>23</v>
      </c>
      <c r="F7" s="15" t="s">
        <v>5</v>
      </c>
      <c r="G7" s="15" t="s">
        <v>24</v>
      </c>
      <c r="H7" s="15" t="s">
        <v>6</v>
      </c>
      <c r="I7" s="15" t="s">
        <v>26</v>
      </c>
      <c r="J7" s="15" t="s">
        <v>8</v>
      </c>
      <c r="K7" s="15" t="s">
        <v>25</v>
      </c>
      <c r="L7" s="100" t="s">
        <v>7</v>
      </c>
      <c r="M7" s="50">
        <f t="shared" si="0"/>
        <v>5</v>
      </c>
      <c r="N7" s="51" t="str">
        <f>'Vérif Bulletins'!H5</f>
        <v>Valide</v>
      </c>
      <c r="T7" s="2"/>
    </row>
    <row r="8" spans="2:20" x14ac:dyDescent="0.25">
      <c r="B8" s="55" t="s">
        <v>46</v>
      </c>
      <c r="C8" s="15" t="s">
        <v>55</v>
      </c>
      <c r="D8" s="15" t="s">
        <v>4</v>
      </c>
      <c r="E8" s="15" t="s">
        <v>26</v>
      </c>
      <c r="F8" s="15" t="s">
        <v>8</v>
      </c>
      <c r="G8" s="15" t="s">
        <v>23</v>
      </c>
      <c r="H8" s="15" t="s">
        <v>5</v>
      </c>
      <c r="I8" s="15" t="s">
        <v>25</v>
      </c>
      <c r="J8" s="15" t="s">
        <v>6</v>
      </c>
      <c r="K8" s="15" t="s">
        <v>24</v>
      </c>
      <c r="L8" s="100" t="s">
        <v>6</v>
      </c>
      <c r="M8" s="50">
        <f t="shared" si="0"/>
        <v>5</v>
      </c>
      <c r="N8" s="51" t="str">
        <f>'Vérif Bulletins'!H6</f>
        <v>Valide</v>
      </c>
      <c r="T8" s="1"/>
    </row>
    <row r="9" spans="2:20" x14ac:dyDescent="0.25">
      <c r="B9" s="55" t="s">
        <v>47</v>
      </c>
      <c r="C9" s="15" t="s">
        <v>55</v>
      </c>
      <c r="D9" s="15" t="s">
        <v>4</v>
      </c>
      <c r="E9" s="15" t="s">
        <v>23</v>
      </c>
      <c r="F9" s="15" t="s">
        <v>5</v>
      </c>
      <c r="G9" s="15" t="s">
        <v>24</v>
      </c>
      <c r="H9" s="15" t="s">
        <v>6</v>
      </c>
      <c r="I9" s="15" t="s">
        <v>26</v>
      </c>
      <c r="J9" s="15" t="s">
        <v>8</v>
      </c>
      <c r="K9" s="15" t="s">
        <v>25</v>
      </c>
      <c r="L9" s="100" t="s">
        <v>7</v>
      </c>
      <c r="M9" s="50">
        <f t="shared" si="0"/>
        <v>5</v>
      </c>
      <c r="N9" s="51" t="str">
        <f>'Vérif Bulletins'!H7</f>
        <v>Valide</v>
      </c>
    </row>
    <row r="10" spans="2:20" x14ac:dyDescent="0.25">
      <c r="B10" s="55" t="s">
        <v>48</v>
      </c>
      <c r="C10" s="15" t="s">
        <v>35</v>
      </c>
      <c r="D10" s="15" t="s">
        <v>9</v>
      </c>
      <c r="E10" s="15" t="s">
        <v>25</v>
      </c>
      <c r="F10" s="15" t="s">
        <v>7</v>
      </c>
      <c r="G10" s="15" t="s">
        <v>23</v>
      </c>
      <c r="H10" s="15" t="s">
        <v>6</v>
      </c>
      <c r="I10" s="15" t="s">
        <v>55</v>
      </c>
      <c r="J10" s="15" t="s">
        <v>4</v>
      </c>
      <c r="K10" s="15" t="s">
        <v>24</v>
      </c>
      <c r="L10" s="100" t="s">
        <v>6</v>
      </c>
      <c r="M10" s="50">
        <f t="shared" si="0"/>
        <v>4</v>
      </c>
      <c r="N10" s="51" t="str">
        <f>'Vérif Bulletins'!H8</f>
        <v>Valide</v>
      </c>
    </row>
    <row r="11" spans="2:20" x14ac:dyDescent="0.25">
      <c r="B11" s="55" t="s">
        <v>49</v>
      </c>
      <c r="C11" s="15" t="s">
        <v>35</v>
      </c>
      <c r="D11" s="15" t="s">
        <v>9</v>
      </c>
      <c r="E11" s="15" t="s">
        <v>55</v>
      </c>
      <c r="F11" s="15" t="s">
        <v>4</v>
      </c>
      <c r="G11" s="15" t="s">
        <v>23</v>
      </c>
      <c r="H11" s="15" t="s">
        <v>6</v>
      </c>
      <c r="I11" s="15" t="s">
        <v>24</v>
      </c>
      <c r="J11" s="15" t="s">
        <v>6</v>
      </c>
      <c r="K11" s="15" t="s">
        <v>25</v>
      </c>
      <c r="L11" s="100" t="s">
        <v>7</v>
      </c>
      <c r="M11" s="50">
        <f t="shared" si="0"/>
        <v>4</v>
      </c>
      <c r="N11" s="51" t="str">
        <f>'Vérif Bulletins'!H9</f>
        <v>Valide</v>
      </c>
    </row>
    <row r="12" spans="2:20" x14ac:dyDescent="0.25">
      <c r="B12" s="55" t="s">
        <v>50</v>
      </c>
      <c r="C12" s="15" t="s">
        <v>35</v>
      </c>
      <c r="D12" s="15" t="s">
        <v>9</v>
      </c>
      <c r="E12" s="15" t="s">
        <v>55</v>
      </c>
      <c r="F12" s="15" t="s">
        <v>4</v>
      </c>
      <c r="G12" s="15" t="s">
        <v>23</v>
      </c>
      <c r="H12" s="15" t="s">
        <v>5</v>
      </c>
      <c r="I12" s="15" t="s">
        <v>24</v>
      </c>
      <c r="J12" s="15" t="s">
        <v>6</v>
      </c>
      <c r="K12" s="15" t="s">
        <v>25</v>
      </c>
      <c r="L12" s="100" t="s">
        <v>7</v>
      </c>
      <c r="M12" s="50">
        <f t="shared" si="0"/>
        <v>4</v>
      </c>
      <c r="N12" s="51" t="str">
        <f>'Vérif Bulletins'!H10</f>
        <v>Valide</v>
      </c>
    </row>
    <row r="13" spans="2:20" ht="15.75" thickBot="1" x14ac:dyDescent="0.3">
      <c r="B13" s="101" t="s">
        <v>51</v>
      </c>
      <c r="C13" s="102" t="s">
        <v>35</v>
      </c>
      <c r="D13" s="102" t="s">
        <v>9</v>
      </c>
      <c r="E13" s="102" t="s">
        <v>55</v>
      </c>
      <c r="F13" s="102" t="s">
        <v>4</v>
      </c>
      <c r="G13" s="102" t="s">
        <v>23</v>
      </c>
      <c r="H13" s="102" t="s">
        <v>5</v>
      </c>
      <c r="I13" s="102" t="s">
        <v>24</v>
      </c>
      <c r="J13" s="102" t="s">
        <v>6</v>
      </c>
      <c r="K13" s="102" t="s">
        <v>25</v>
      </c>
      <c r="L13" s="103" t="s">
        <v>7</v>
      </c>
      <c r="M13" s="52">
        <f t="shared" si="0"/>
        <v>4</v>
      </c>
      <c r="N13" s="53" t="str">
        <f>'Vérif Bulletins'!H11</f>
        <v>Valide</v>
      </c>
    </row>
    <row r="14" spans="2:20" s="7" customFormat="1" ht="29.25" customHeight="1" thickTop="1" thickBot="1" x14ac:dyDescent="0.3">
      <c r="B14" s="73" t="s">
        <v>80</v>
      </c>
      <c r="C14" s="74" t="str">
        <f>"points ="&amp;CHAR(10)&amp;(IF($N$4="Valide",MAX(0,$M$4+1-VLOOKUP(C4,Valeurs!$E$1:$F$6,2)),0)+IF($N$5="Valide",MAX(0,$M$5+1-VLOOKUP(C5,Valeurs!$E$1:$F$6,2)),0)+IF($N$6="Valide",MAX(0,$M$6+1-VLOOKUP(C6,Valeurs!$E$1:$F$6,2)),0)+IF($N$7="Valide",MAX(0,$M$7+1-VLOOKUP(C7,Valeurs!$E$1:$F$6,2)),0)+IF($N$8="Valide",MAX(0,$M$8+1-VLOOKUP(C8,Valeurs!$E$1:$F$6,2)),0)+IF($N$9="Valide",MAX(0,$M$9+1-VLOOKUP(C9,Valeurs!$E$1:$F$6,2)),0)+IF($N$10="Valide",MAX(0,$M$10+1-VLOOKUP(C10,Valeurs!$E$1:$F$6,2)),0)+IF($N$11="Valide",MAX(0,$M$11+1-VLOOKUP(C11,Valeurs!$E$1:$F$6,2)),0)+IF($N$12="Valide",MAX(0,$M$12+1-VLOOKUP(C12,Valeurs!$E$1:$F$6,2)),0)+IF($N$13="Valide",MAX(0,$M$13+1-VLOOKUP(C13,Valeurs!$E$1:$F$6,2)),0))</f>
        <v>points =
24</v>
      </c>
      <c r="D14" s="75" t="str">
        <f>VLOOKUP(MEDIAN(VLOOKUP(D4,Valeurs!$A$1:$B$6,2,0),VLOOKUP(D5,Valeurs!$A$1:$B$6,2,0),VLOOKUP(D6,Valeurs!$A$1:$B$6,2,0),VLOOKUP(D7,Valeurs!$A$1:$B$6,2,0),VLOOKUP(D8,Valeurs!$A$1:$B$6,2,0),VLOOKUP(D9,Valeurs!$A$1:$B$6,2,0),VLOOKUP(D10,Valeurs!$A$1:$B$6,2,0),VLOOKUP(D11,Valeurs!$A$1:$B$6,2,0),VLOOKUP(D12,Valeurs!$A$1:$B$6,2,0),VLOOKUP(D13,Valeurs!$A$1:$B$6,2,0)),Valeurs!$B$1:$C$6,2)&amp;CHAR(10)&amp;"médiane = "&amp;MEDIAN(VLOOKUP(D4,Valeurs!$A$1:$B$6,2,0),VLOOKUP(D5,Valeurs!$A$1:$B$6,2,0),VLOOKUP(D6,Valeurs!$A$1:$B$6,2,0),VLOOKUP(D7,Valeurs!$A$1:$B$6,2,0),VLOOKUP(D8,Valeurs!$A$1:$B$6,2,0),VLOOKUP(D9,Valeurs!$A$1:$B$6,2,0),VLOOKUP(D10,Valeurs!$A$1:$B$6,2,0),VLOOKUP(D11,Valeurs!$A$1:$B$6,2,0),VLOOKUP(D12,Valeurs!$A$1:$B$6,2,0),VLOOKUP(D13,Valeurs!$A$1:$B$6,2,0))</f>
        <v>très bien
médiane = 1</v>
      </c>
      <c r="E14" s="74" t="str">
        <f>"points ="&amp;CHAR(10)&amp;(IF($N$4="Valide",MAX(0,$M$4+1-VLOOKUP(E4,Valeurs!$E$1:$F$6,2)),0)+IF($N$5="Valide",MAX(0,$M$5+1-VLOOKUP(E5,Valeurs!$E$1:$F$6,2)),0)+IF($N$6="Valide",MAX(0,$M$6+1-VLOOKUP(E6,Valeurs!$E$1:$F$6,2)),0)+IF($N$7="Valide",MAX(0,$M$7+1-VLOOKUP(E7,Valeurs!$E$1:$F$6,2)),0)+IF($N$8="Valide",MAX(0,$M$8+1-VLOOKUP(E8,Valeurs!$E$1:$F$6,2)),0)+IF($N$9="Valide",MAX(0,$M$9+1-VLOOKUP(E9,Valeurs!$E$1:$F$6,2)),0)+IF($N$10="Valide",MAX(0,$M$10+1-VLOOKUP(E10,Valeurs!$E$1:$F$6,2)),0)+IF($N$11="Valide",MAX(0,$M$11+1-VLOOKUP(E11,Valeurs!$E$1:$F$6,2)),0)+IF($N$12="Valide",MAX(0,$M$12+1-VLOOKUP(E12,Valeurs!$E$1:$F$6,2)),0)+IF($N$13="Valide",MAX(0,$M$13+1-VLOOKUP(E13,Valeurs!$E$1:$F$6,2)),0))</f>
        <v>points =
26</v>
      </c>
      <c r="F14" s="76" t="str">
        <f>VLOOKUP(MEDIAN(VLOOKUP(F4,Valeurs!$A$1:$B$6,2,0),VLOOKUP(F5,Valeurs!$A$1:$B$6,2,0),VLOOKUP(F6,Valeurs!$A$1:$B$6,2,0),VLOOKUP(F7,Valeurs!$A$1:$B$6,2,0),VLOOKUP(F8,Valeurs!$A$1:$B$6,2,0),VLOOKUP(F9,Valeurs!$A$1:$B$6,2,0),VLOOKUP(F10,Valeurs!$A$1:$B$6,2,0),VLOOKUP(F11,Valeurs!$A$1:$B$6,2,0),VLOOKUP(F12,Valeurs!$A$1:$B$6,2,0),VLOOKUP(F13,Valeurs!$A$1:$B$6,2,0)),Valeurs!$B$1:$C$6,2)&amp;CHAR(10)&amp;"médiane = "&amp;MEDIAN(VLOOKUP(F4,Valeurs!$A$1:$B$6,2,0),VLOOKUP(F5,Valeurs!$A$1:$B$6,2,0),VLOOKUP(F6,Valeurs!$A$1:$B$6,2,0),VLOOKUP(F7,Valeurs!$A$1:$B$6,2,0),VLOOKUP(F8,Valeurs!$A$1:$B$6,2,0),VLOOKUP(F9,Valeurs!$A$1:$B$6,2,0),VLOOKUP(F10,Valeurs!$A$1:$B$6,2,0),VLOOKUP(F11,Valeurs!$A$1:$B$6,2,0),VLOOKUP(F12,Valeurs!$A$1:$B$6,2,0),VLOOKUP(F13,Valeurs!$A$1:$B$6,2,0))</f>
        <v>bien
médiane = 2</v>
      </c>
      <c r="G14" s="74" t="str">
        <f>"points ="&amp;CHAR(10)&amp;(IF($N$4="Valide",MAX(0,$M$4+1-VLOOKUP(G4,Valeurs!$E$1:$F$6,2)),0)+IF($N$5="Valide",MAX(0,$M$5+1-VLOOKUP(G5,Valeurs!$E$1:$F$6,2)),0)+IF($N$6="Valide",MAX(0,$M$6+1-VLOOKUP(G6,Valeurs!$E$1:$F$6,2)),0)+IF($N$7="Valide",MAX(0,$M$7+1-VLOOKUP(G7,Valeurs!$E$1:$F$6,2)),0)+IF($N$8="Valide",MAX(0,$M$8+1-VLOOKUP(G8,Valeurs!$E$1:$F$6,2)),0)+IF($N$9="Valide",MAX(0,$M$9+1-VLOOKUP(G9,Valeurs!$E$1:$F$6,2)),0)+IF($N$10="Valide",MAX(0,$M$10+1-VLOOKUP(G10,Valeurs!$E$1:$F$6,2)),0)+IF($N$11="Valide",MAX(0,$M$11+1-VLOOKUP(G11,Valeurs!$E$1:$F$6,2)),0)+IF($N$12="Valide",MAX(0,$M$12+1-VLOOKUP(G12,Valeurs!$E$1:$F$6,2)),0)+IF($N$13="Valide",MAX(0,$M$13+1-VLOOKUP(G13,Valeurs!$E$1:$F$6,2)),0))</f>
        <v>points =
27</v>
      </c>
      <c r="H14" s="76" t="str">
        <f>VLOOKUP(MEDIAN(VLOOKUP(H4,Valeurs!$A$1:$B$6,2,0),VLOOKUP(H5,Valeurs!$A$1:$B$6,2,0),VLOOKUP(H6,Valeurs!$A$1:$B$6,2,0),VLOOKUP(H7,Valeurs!$A$1:$B$6,2,0),VLOOKUP(H8,Valeurs!$A$1:$B$6,2,0),VLOOKUP(H9,Valeurs!$A$1:$B$6,2,0),VLOOKUP(H10,Valeurs!$A$1:$B$6,2,0),VLOOKUP(H11,Valeurs!$A$1:$B$6,2,0),VLOOKUP(H12,Valeurs!$A$1:$B$6,2,0),VLOOKUP(H13,Valeurs!$A$1:$B$6,2,0)),Valeurs!$B$1:$C$6,2)&amp;CHAR(10)&amp;"médiane = "&amp;MEDIAN(VLOOKUP(H4,Valeurs!$A$1:$B$6,2,0),VLOOKUP(H5,Valeurs!$A$1:$B$6,2,0),VLOOKUP(H6,Valeurs!$A$1:$B$6,2,0),VLOOKUP(H7,Valeurs!$A$1:$B$6,2,0),VLOOKUP(H8,Valeurs!$A$1:$B$6,2,0),VLOOKUP(H9,Valeurs!$A$1:$B$6,2,0),VLOOKUP(H10,Valeurs!$A$1:$B$6,2,0),VLOOKUP(H11,Valeurs!$A$1:$B$6,2,0),VLOOKUP(H12,Valeurs!$A$1:$B$6,2,0),VLOOKUP(H13,Valeurs!$A$1:$B$6,2,0))</f>
        <v>bien
médiane = 2,5</v>
      </c>
      <c r="I14" s="74" t="str">
        <f>"points ="&amp;CHAR(10)&amp;(IF($N$4="Valide",MAX(0,$M$4+1-VLOOKUP(I4,Valeurs!$E$1:$F$6,2)),0)+IF($N$5="Valide",MAX(0,$M$5+1-VLOOKUP(I5,Valeurs!$E$1:$F$6,2)),0)+IF($N$6="Valide",MAX(0,$M$6+1-VLOOKUP(I6,Valeurs!$E$1:$F$6,2)),0)+IF($N$7="Valide",MAX(0,$M$7+1-VLOOKUP(I7,Valeurs!$E$1:$F$6,2)),0)+IF($N$8="Valide",MAX(0,$M$8+1-VLOOKUP(I8,Valeurs!$E$1:$F$6,2)),0)+IF($N$9="Valide",MAX(0,$M$9+1-VLOOKUP(I9,Valeurs!$E$1:$F$6,2)),0)+IF($N$10="Valide",MAX(0,$M$10+1-VLOOKUP(I10,Valeurs!$E$1:$F$6,2)),0)+IF($N$11="Valide",MAX(0,$M$11+1-VLOOKUP(I11,Valeurs!$E$1:$F$6,2)),0)+IF($N$12="Valide",MAX(0,$M$12+1-VLOOKUP(I12,Valeurs!$E$1:$F$6,2)),0)+IF($N$13="Valide",MAX(0,$M$13+1-VLOOKUP(I13,Valeurs!$E$1:$F$6,2)),0))</f>
        <v>points =
15</v>
      </c>
      <c r="J14" s="76" t="str">
        <f>VLOOKUP(MEDIAN(VLOOKUP(J4,Valeurs!$A$1:$B$6,2,0),VLOOKUP(J5,Valeurs!$A$1:$B$6,2,0),VLOOKUP(J6,Valeurs!$A$1:$B$6,2,0),VLOOKUP(J7,Valeurs!$A$1:$B$6,2,0),VLOOKUP(J8,Valeurs!$A$1:$B$6,2,0),VLOOKUP(J9,Valeurs!$A$1:$B$6,2,0),VLOOKUP(J10,Valeurs!$A$1:$B$6,2,0),VLOOKUP(J11,Valeurs!$A$1:$B$6,2,0),VLOOKUP(J12,Valeurs!$A$1:$B$6,2,0),VLOOKUP(J13,Valeurs!$A$1:$B$6,2,0)),Valeurs!$B$1:$C$6,2)&amp;CHAR(10)&amp;"médiane = "&amp;MEDIAN(VLOOKUP(J4,Valeurs!$A$1:$B$6,2,0),VLOOKUP(J5,Valeurs!$A$1:$B$6,2,0),VLOOKUP(J6,Valeurs!$A$1:$B$6,2,0),VLOOKUP(J7,Valeurs!$A$1:$B$6,2,0),VLOOKUP(J8,Valeurs!$A$1:$B$6,2,0),VLOOKUP(J9,Valeurs!$A$1:$B$6,2,0),VLOOKUP(J10,Valeurs!$A$1:$B$6,2,0),VLOOKUP(J11,Valeurs!$A$1:$B$6,2,0),VLOOKUP(J12,Valeurs!$A$1:$B$6,2,0),VLOOKUP(J13,Valeurs!$A$1:$B$6,2,0))</f>
        <v>assez bien
médiane = 3,5</v>
      </c>
      <c r="K14" s="74" t="str">
        <f>"points ="&amp;CHAR(10)&amp;(IF($N$4="Valide",MAX(0,$M$4+1-VLOOKUP(K4,Valeurs!$E$1:$F$6,2)),0)+IF($N$5="Valide",MAX(0,$M$5+1-VLOOKUP(K5,Valeurs!$E$1:$F$6,2)),0)+IF($N$6="Valide",MAX(0,$M$6+1-VLOOKUP(K6,Valeurs!$E$1:$F$6,2)),0)+IF($N$7="Valide",MAX(0,$M$7+1-VLOOKUP(K7,Valeurs!$E$1:$F$6,2)),0)+IF($N$8="Valide",MAX(0,$M$8+1-VLOOKUP(K8,Valeurs!$E$1:$F$6,2)),0)+IF($N$9="Valide",MAX(0,$M$9+1-VLOOKUP(K9,Valeurs!$E$1:$F$6,2)),0)+IF($N$10="Valide",MAX(0,$M$10+1-VLOOKUP(K10,Valeurs!$E$1:$F$6,2)),0)+IF($N$11="Valide",MAX(0,$M$11+1-VLOOKUP(K11,Valeurs!$E$1:$F$6,2)),0)+IF($N$12="Valide",MAX(0,$M$12+1-VLOOKUP(K12,Valeurs!$E$1:$F$6,2)),0)+IF($N$13="Valide",MAX(0,$M$13+1-VLOOKUP(K13,Valeurs!$E$1:$F$6,2)),0))</f>
        <v>points =
12</v>
      </c>
      <c r="L14" s="77" t="str">
        <f>VLOOKUP(MEDIAN(VLOOKUP(L4,Valeurs!$A$1:$B$6,2,0),VLOOKUP(L5,Valeurs!$A$1:$B$6,2,0),VLOOKUP(L6,Valeurs!$A$1:$B$6,2,0),VLOOKUP(L7,Valeurs!$A$1:$B$6,2,0),VLOOKUP(L8,Valeurs!$A$1:$B$6,2,0),VLOOKUP(L9,Valeurs!$A$1:$B$6,2,0),VLOOKUP(L10,Valeurs!$A$1:$B$6,2,0),VLOOKUP(L11,Valeurs!$A$1:$B$6,2,0),VLOOKUP(L12,Valeurs!$A$1:$B$6,2,0),VLOOKUP(L13,Valeurs!$A$1:$B$6,2,0)),Valeurs!$B$1:$C$6,2)&amp;CHAR(10)&amp;"médiane = "&amp;MEDIAN(VLOOKUP(L4,Valeurs!$A$1:$B$6,2,0),VLOOKUP(L5,Valeurs!$A$1:$B$6,2,0),VLOOKUP(L6,Valeurs!$A$1:$B$6,2,0),VLOOKUP(L7,Valeurs!$A$1:$B$6,2,0),VLOOKUP(L8,Valeurs!$A$1:$B$6,2,0),VLOOKUP(L9,Valeurs!$A$1:$B$6,2,0),VLOOKUP(L10,Valeurs!$A$1:$B$6,2,0),VLOOKUP(L11,Valeurs!$A$1:$B$6,2,0),VLOOKUP(L12,Valeurs!$A$1:$B$6,2,0),VLOOKUP(L13,Valeurs!$A$1:$B$6,2,0))</f>
        <v>passable
médiane = 4</v>
      </c>
      <c r="M14" s="11"/>
    </row>
    <row r="15" spans="2:20" ht="29.25" customHeight="1" thickTop="1" x14ac:dyDescent="0.25">
      <c r="B15" s="78" t="s">
        <v>81</v>
      </c>
      <c r="C15" s="79" t="str">
        <f>"approbations ="&amp;CHAR(10)&amp;COUNTIF(C4:C13,"&lt;&gt;"&amp;"refus de vote")&amp;"/10"</f>
        <v>approbations =
6/10</v>
      </c>
      <c r="D15" s="80"/>
      <c r="E15" s="81" t="str">
        <f>"approbations ="&amp;CHAR(10)&amp;COUNTIF(E4:E13,"&lt;&gt;"&amp;"refus de vote")&amp;"/10"</f>
        <v>approbations =
9/10</v>
      </c>
      <c r="F15" s="82"/>
      <c r="G15" s="81" t="str">
        <f>"approbations ="&amp;CHAR(10)&amp;COUNTIF(G4:G13,"&lt;&gt;"&amp;"refus de vote")&amp;"/10"</f>
        <v>approbations =
10/10</v>
      </c>
      <c r="H15" s="82"/>
      <c r="I15" s="81" t="str">
        <f>"approbations ="&amp;CHAR(10)&amp;COUNTIF(I4:I13,"&lt;&gt;"&amp;"refus de vote")&amp;"/10"</f>
        <v>approbations =
8/10</v>
      </c>
      <c r="J15" s="82"/>
      <c r="K15" s="81" t="str">
        <f>"approbations ="&amp;CHAR(10)&amp;COUNTIF(K4:K13,"&lt;&gt;"&amp;"refus de vote")&amp;"/10"</f>
        <v>approbations =
7/10</v>
      </c>
      <c r="L15" s="80"/>
      <c r="M15" s="7"/>
    </row>
    <row r="16" spans="2:20" ht="29.25" customHeight="1" x14ac:dyDescent="0.25">
      <c r="B16" s="78" t="s">
        <v>82</v>
      </c>
      <c r="C16" s="83" t="str">
        <f>"victoires ="&amp;CHAR(10)&amp;'Compte victoires'!E2&amp;"/4"</f>
        <v>victoires =
4/4</v>
      </c>
      <c r="D16" s="84"/>
      <c r="E16" s="85" t="str">
        <f>"victoires ="&amp;CHAR(10)&amp;'Compte victoires'!E3&amp;"/4"</f>
        <v>victoires =
3/4</v>
      </c>
      <c r="F16" s="86"/>
      <c r="G16" s="85" t="str">
        <f>"victoires ="&amp;CHAR(10)&amp;'Compte victoires'!E4&amp;"/4"</f>
        <v>victoires =
2/4</v>
      </c>
      <c r="H16" s="86"/>
      <c r="I16" s="85" t="str">
        <f>"victoires ="&amp;CHAR(10)&amp;'Compte victoires'!E5&amp;"/4"</f>
        <v>victoires =
1/4</v>
      </c>
      <c r="J16" s="86"/>
      <c r="K16" s="85" t="str">
        <f>"victoires ="&amp;CHAR(10)&amp;'Compte victoires'!E6&amp;"/4"</f>
        <v>victoires =
0/4</v>
      </c>
      <c r="L16" s="87"/>
      <c r="M16" s="7"/>
    </row>
    <row r="17" spans="2:13" ht="29.25" customHeight="1" x14ac:dyDescent="0.25">
      <c r="B17" s="78" t="s">
        <v>83</v>
      </c>
      <c r="C17" s="88" t="str">
        <f>'Tours Vote Alternatif'!L35</f>
        <v>gagnante tour 1</v>
      </c>
      <c r="D17" s="84"/>
      <c r="E17" s="89" t="str">
        <f>'Tours Vote Alternatif'!L36</f>
        <v>éliminée tour 1</v>
      </c>
      <c r="F17" s="86"/>
      <c r="G17" s="89" t="str">
        <f>'Tours Vote Alternatif'!L37</f>
        <v>éliminée tour 1</v>
      </c>
      <c r="H17" s="86"/>
      <c r="I17" s="89" t="str">
        <f>'Tours Vote Alternatif'!L38</f>
        <v>éliminée tour 1</v>
      </c>
      <c r="J17" s="86"/>
      <c r="K17" s="89" t="str">
        <f>'Tours Vote Alternatif'!L39</f>
        <v>éliminée tour 1</v>
      </c>
      <c r="L17" s="87"/>
      <c r="M17" s="7"/>
    </row>
    <row r="18" spans="2:13" ht="29.25" customHeight="1" thickBot="1" x14ac:dyDescent="0.3">
      <c r="B18" s="90" t="s">
        <v>84</v>
      </c>
      <c r="C18" s="91" t="str">
        <f>'Tours Méthode Coombs'!L35</f>
        <v>gagnante tour 1</v>
      </c>
      <c r="D18" s="84"/>
      <c r="E18" s="92" t="str">
        <f>'Tours Méthode Coombs'!L36</f>
        <v>éliminée tour 1</v>
      </c>
      <c r="F18" s="84"/>
      <c r="G18" s="92" t="str">
        <f>'Tours Méthode Coombs'!L37</f>
        <v>éliminée tour 1</v>
      </c>
      <c r="H18" s="84"/>
      <c r="I18" s="92" t="str">
        <f>'Tours Méthode Coombs'!L38</f>
        <v>éliminée tour 1</v>
      </c>
      <c r="J18" s="84"/>
      <c r="K18" s="92" t="str">
        <f>'Tours Méthode Coombs'!L39</f>
        <v>éliminée tour 1</v>
      </c>
      <c r="L18" s="84"/>
      <c r="M18" s="7"/>
    </row>
    <row r="19" spans="2:13" ht="15.75" customHeight="1" thickTop="1" thickBot="1" x14ac:dyDescent="0.3">
      <c r="B19" s="7"/>
      <c r="C19" s="8"/>
      <c r="D19" s="9"/>
      <c r="E19" s="8"/>
      <c r="F19" s="9"/>
      <c r="G19" s="8"/>
      <c r="H19" s="9"/>
      <c r="I19" s="8"/>
      <c r="J19" s="9"/>
      <c r="K19" s="37"/>
      <c r="L19" s="9"/>
    </row>
    <row r="20" spans="2:13" s="10" customFormat="1" ht="15.75" thickTop="1" x14ac:dyDescent="0.25">
      <c r="B20" s="110" t="s">
        <v>62</v>
      </c>
      <c r="C20" s="23" t="s">
        <v>37</v>
      </c>
      <c r="D20" s="23" t="s">
        <v>38</v>
      </c>
      <c r="E20" s="23" t="s">
        <v>39</v>
      </c>
      <c r="F20" s="23" t="s">
        <v>40</v>
      </c>
      <c r="G20" s="24" t="s">
        <v>41</v>
      </c>
    </row>
    <row r="21" spans="2:13" s="10" customFormat="1" ht="27" customHeight="1" thickBot="1" x14ac:dyDescent="0.3">
      <c r="B21" s="111"/>
      <c r="C21" s="31" t="str">
        <f>IF(Classement!B$2=1,"A","")&amp;IF(Classement!B$3=1,"B","")&amp;IF(Classement!B$4=1,"C","")&amp;IF(Classement!B$5=1,"D","")&amp;IF(Classement!B$6=1,"E","")</f>
        <v>C</v>
      </c>
      <c r="D21" s="31" t="str">
        <f>IF(Classement!B$2=2,"A","")&amp;IF(Classement!B$3=2,"B","")&amp;IF(Classement!B$4=2,"C","")&amp;IF(Classement!B$5=2,"D","")&amp;IF(Classement!B$6=2,"E","")</f>
        <v>B</v>
      </c>
      <c r="E21" s="31" t="str">
        <f>IF(Classement!B$2=3,"A","")&amp;IF(Classement!B$3=3,"B","")&amp;IF(Classement!B$4=3,"C","")&amp;IF(Classement!B$5=3,"D","")&amp;IF(Classement!B$6=3,"E","")</f>
        <v>A</v>
      </c>
      <c r="F21" s="31" t="str">
        <f>IF(Classement!B$2=4,"A","")&amp;IF(Classement!B$3=4,"B","")&amp;IF(Classement!B$4=4,"C","")&amp;IF(Classement!B$5=4,"D","")&amp;IF(Classement!B$6=4,"E","")</f>
        <v>D</v>
      </c>
      <c r="G21" s="32" t="str">
        <f>IF(Classement!B$2=5,"A","")&amp;IF(Classement!B$3=5,"B","")&amp;IF(Classement!B$4=5,"C","")&amp;IF(Classement!B$5=5,"D","")&amp;IF(Classement!B$6=5,"E","")</f>
        <v>E</v>
      </c>
    </row>
    <row r="22" spans="2:13" s="10" customFormat="1" ht="18" customHeight="1" thickTop="1" x14ac:dyDescent="0.25">
      <c r="B22" s="116" t="s">
        <v>57</v>
      </c>
      <c r="C22" s="43" t="s">
        <v>37</v>
      </c>
      <c r="D22" s="43" t="s">
        <v>38</v>
      </c>
      <c r="E22" s="43" t="s">
        <v>39</v>
      </c>
      <c r="F22" s="43" t="s">
        <v>40</v>
      </c>
      <c r="G22" s="44" t="s">
        <v>41</v>
      </c>
    </row>
    <row r="23" spans="2:13" s="10" customFormat="1" ht="27" customHeight="1" thickBot="1" x14ac:dyDescent="0.3">
      <c r="B23" s="117"/>
      <c r="C23" s="45" t="str">
        <f>IF(Classement!C$2=1,"A","")&amp;IF(Classement!C$3=1,"B","")&amp;IF(Classement!C$4=1,"C","")&amp;IF(Classement!C$5=1,"D","")&amp;IF(Classement!C$6=1,"E","")</f>
        <v>C</v>
      </c>
      <c r="D23" s="45" t="str">
        <f>IF(Classement!C$2=2,"A","")&amp;IF(Classement!C$3=2,"B","")&amp;IF(Classement!C$4=2,"C","")&amp;IF(Classement!C$5=2,"D","")&amp;IF(Classement!C$6=2,"E","")</f>
        <v>B</v>
      </c>
      <c r="E23" s="45" t="str">
        <f>IF(Classement!C$2=3,"A","")&amp;IF(Classement!C$3=3,"B","")&amp;IF(Classement!C$4=3,"C","")&amp;IF(Classement!C$5=3,"D","")&amp;IF(Classement!C$6=3,"E","")</f>
        <v>D</v>
      </c>
      <c r="F23" s="45" t="str">
        <f>IF(Classement!C$2=4,"A","")&amp;IF(Classement!C$3=4,"B","")&amp;IF(Classement!C$4=4,"C","")&amp;IF(Classement!C$5=4,"D","")&amp;IF(Classement!C$6=4,"E","")</f>
        <v>E</v>
      </c>
      <c r="G23" s="46" t="str">
        <f>IF(Classement!C$2=5,"A","")&amp;IF(Classement!C$3=5,"B","")&amp;IF(Classement!C$4=5,"C","")&amp;IF(Classement!C$5=5,"D","")&amp;IF(Classement!C$6=5,"E","")</f>
        <v>A</v>
      </c>
    </row>
    <row r="24" spans="2:13" s="10" customFormat="1" ht="15.75" thickTop="1" x14ac:dyDescent="0.25">
      <c r="B24" s="112" t="s">
        <v>53</v>
      </c>
      <c r="C24" s="25" t="s">
        <v>37</v>
      </c>
      <c r="D24" s="25" t="s">
        <v>38</v>
      </c>
      <c r="E24" s="25" t="s">
        <v>39</v>
      </c>
      <c r="F24" s="25" t="s">
        <v>40</v>
      </c>
      <c r="G24" s="26" t="s">
        <v>41</v>
      </c>
    </row>
    <row r="25" spans="2:13" s="10" customFormat="1" ht="27" customHeight="1" thickBot="1" x14ac:dyDescent="0.3">
      <c r="B25" s="113"/>
      <c r="C25" s="33" t="str">
        <f>IF(Classement!D$2=1,"A","")&amp;IF(Classement!D$3=1,"B","")&amp;IF(Classement!D$4=1,"C","")&amp;IF(Classement!D$5=1,"D","")&amp;IF(Classement!D$6=1,"E","")</f>
        <v>A</v>
      </c>
      <c r="D25" s="33" t="str">
        <f>IF(Classement!D$2=2,"A","")&amp;IF(Classement!D$3=2,"B","")&amp;IF(Classement!D$4=2,"C","")&amp;IF(Classement!D$5=2,"D","")&amp;IF(Classement!D$6=2,"E","")</f>
        <v>B</v>
      </c>
      <c r="E25" s="33" t="str">
        <f>IF(Classement!D$2=3,"A","")&amp;IF(Classement!D$3=3,"B","")&amp;IF(Classement!D$4=3,"C","")&amp;IF(Classement!D$5=3,"D","")&amp;IF(Classement!D$6=3,"E","")</f>
        <v>C</v>
      </c>
      <c r="F25" s="33" t="str">
        <f>IF(Classement!D$2=4,"A","")&amp;IF(Classement!D$3=4,"B","")&amp;IF(Classement!D$4=4,"C","")&amp;IF(Classement!D$5=4,"D","")&amp;IF(Classement!D$6=4,"E","")</f>
        <v>D</v>
      </c>
      <c r="G25" s="34" t="str">
        <f>IF(Classement!D$2=5,"A","")&amp;IF(Classement!D$3=5,"B","")&amp;IF(Classement!D$4=5,"C","")&amp;IF(Classement!D$5=5,"D","")&amp;IF(Classement!D$6=5,"E","")</f>
        <v>E</v>
      </c>
    </row>
    <row r="26" spans="2:13" s="10" customFormat="1" ht="15.75" thickTop="1" x14ac:dyDescent="0.25">
      <c r="B26" s="114" t="s">
        <v>54</v>
      </c>
      <c r="C26" s="27" t="s">
        <v>37</v>
      </c>
      <c r="D26" s="27" t="s">
        <v>38</v>
      </c>
      <c r="E26" s="27" t="s">
        <v>39</v>
      </c>
      <c r="F26" s="27" t="s">
        <v>40</v>
      </c>
      <c r="G26" s="28" t="s">
        <v>41</v>
      </c>
    </row>
    <row r="27" spans="2:13" s="10" customFormat="1" ht="27" customHeight="1" thickBot="1" x14ac:dyDescent="0.3">
      <c r="B27" s="115"/>
      <c r="C27" s="35" t="str">
        <f>IF(Classement!E$2=1,"A","")&amp;IF(Classement!E$3=1,"B","")&amp;IF(Classement!E$4=1,"C","")&amp;IF(Classement!E$5=1,"D","")&amp;IF(Classement!E$6=1,"E","")</f>
        <v>A</v>
      </c>
      <c r="D27" s="35" t="str">
        <f>IF(Classement!E$2=2,"A","")&amp;IF(Classement!E$3=2,"B","")&amp;IF(Classement!E$4=2,"C","")&amp;IF(Classement!E$5=2,"D","")&amp;IF(Classement!E$6=2,"E","")</f>
        <v>B</v>
      </c>
      <c r="E27" s="35" t="str">
        <f>IF(Classement!E$2=3,"A","")&amp;IF(Classement!E$3=3,"B","")&amp;IF(Classement!E$4=3,"C","")&amp;IF(Classement!E$5=3,"D","")&amp;IF(Classement!E$6=3,"E","")</f>
        <v>C</v>
      </c>
      <c r="F27" s="35" t="str">
        <f>IF(Classement!E$2=4,"A","")&amp;IF(Classement!E$3=4,"B","")&amp;IF(Classement!E$4=4,"C","")&amp;IF(Classement!E$5=4,"D","")&amp;IF(Classement!E$6=4,"E","")</f>
        <v>D</v>
      </c>
      <c r="G27" s="36" t="str">
        <f>IF(Classement!E$2=5,"A","")&amp;IF(Classement!E$3=5,"B","")&amp;IF(Classement!E$4=5,"C","")&amp;IF(Classement!E$5=5,"D","")&amp;IF(Classement!E$6=5,"E","")</f>
        <v>E</v>
      </c>
    </row>
    <row r="28" spans="2:13" ht="15.75" thickTop="1" x14ac:dyDescent="0.25">
      <c r="B28" s="104" t="s">
        <v>73</v>
      </c>
      <c r="C28" s="62" t="s">
        <v>37</v>
      </c>
      <c r="D28" s="62" t="s">
        <v>38</v>
      </c>
      <c r="E28" s="62" t="s">
        <v>39</v>
      </c>
      <c r="F28" s="62" t="s">
        <v>40</v>
      </c>
      <c r="G28" s="63" t="s">
        <v>41</v>
      </c>
    </row>
    <row r="29" spans="2:13" ht="24" thickBot="1" x14ac:dyDescent="0.3">
      <c r="B29" s="105"/>
      <c r="C29" s="64" t="str">
        <f>IF(Classement!F$2=1,"A","")&amp;IF(Classement!F$3=1,"B","")&amp;IF(Classement!F$4=1,"C","")&amp;IF(Classement!F$5=1,"D","")&amp;IF(Classement!F$6=1,"E","")</f>
        <v>A</v>
      </c>
      <c r="D29" s="64" t="str">
        <f>IF(Classement!F$2=2,"A","")&amp;IF(Classement!F$3=2,"B","")&amp;IF(Classement!F$4=2,"C","")&amp;IF(Classement!F$5=2,"D","")&amp;IF(Classement!F$6=2,"E","")</f>
        <v>B</v>
      </c>
      <c r="E29" s="64" t="str">
        <f>IF(Classement!F$2=3,"A","")&amp;IF(Classement!F$3=3,"B","")&amp;IF(Classement!F$4=3,"C","")&amp;IF(Classement!F$5=3,"D","")&amp;IF(Classement!F$6=3,"E","")</f>
        <v>D</v>
      </c>
      <c r="F29" s="64" t="str">
        <f>IF(Classement!F$2=4,"A","")&amp;IF(Classement!F$3=4,"B","")&amp;IF(Classement!F$4=4,"C","")&amp;IF(Classement!F$5=4,"D","")&amp;IF(Classement!F$6=4,"E","")</f>
        <v>CE</v>
      </c>
      <c r="G29" s="65" t="str">
        <f>IF(Classement!F$2=5,"A","")&amp;IF(Classement!F$3=5,"B","")&amp;IF(Classement!F$4=5,"C","")&amp;IF(Classement!F$5=5,"D","")&amp;IF(Classement!F$6=5,"E","")</f>
        <v/>
      </c>
    </row>
    <row r="30" spans="2:13" ht="15.75" customHeight="1" thickTop="1" x14ac:dyDescent="0.25">
      <c r="B30" s="106" t="s">
        <v>74</v>
      </c>
      <c r="C30" s="68" t="s">
        <v>37</v>
      </c>
      <c r="D30" s="68" t="s">
        <v>38</v>
      </c>
      <c r="E30" s="68" t="s">
        <v>39</v>
      </c>
      <c r="F30" s="68" t="s">
        <v>40</v>
      </c>
      <c r="G30" s="69" t="s">
        <v>41</v>
      </c>
    </row>
    <row r="31" spans="2:13" ht="24" thickBot="1" x14ac:dyDescent="0.3">
      <c r="B31" s="107"/>
      <c r="C31" s="70" t="str">
        <f>IF(Classement!G$2=1,"A","")&amp;IF(Classement!G$3=1,"B","")&amp;IF(Classement!G$4=1,"C","")&amp;IF(Classement!G$5=1,"D","")&amp;IF(Classement!G$6=1,"E","")</f>
        <v>A</v>
      </c>
      <c r="D31" s="70" t="str">
        <f>IF(Classement!G$2=2,"A","")&amp;IF(Classement!G$3=2,"B","")&amp;IF(Classement!G$4=2,"C","")&amp;IF(Classement!G$5=2,"D","")&amp;IF(Classement!G$6=2,"E","")</f>
        <v>B</v>
      </c>
      <c r="E31" s="70" t="str">
        <f>IF(Classement!G$2=3,"A","")&amp;IF(Classement!G$3=3,"B","")&amp;IF(Classement!G$4=3,"C","")&amp;IF(Classement!G$5=3,"D","")&amp;IF(Classement!G$6=3,"E","")</f>
        <v>D</v>
      </c>
      <c r="F31" s="70" t="str">
        <f>IF(Classement!G$2=4,"A","")&amp;IF(Classement!G$3=4,"B","")&amp;IF(Classement!G$4=4,"C","")&amp;IF(Classement!G$5=4,"D","")&amp;IF(Classement!G$6=4,"E","")</f>
        <v>CE</v>
      </c>
      <c r="G31" s="71" t="str">
        <f>IF(Classement!G$2=5,"A","")&amp;IF(Classement!G$3=5,"B","")&amp;IF(Classement!G$4=5,"C","")&amp;IF(Classement!G$5=5,"D","")&amp;IF(Classement!G$6=5,"E","")</f>
        <v/>
      </c>
    </row>
    <row r="32" spans="2:13" ht="15.75" thickTop="1" x14ac:dyDescent="0.25"/>
  </sheetData>
  <mergeCells count="12">
    <mergeCell ref="B28:B29"/>
    <mergeCell ref="B30:B31"/>
    <mergeCell ref="K2:L2"/>
    <mergeCell ref="B20:B21"/>
    <mergeCell ref="B24:B25"/>
    <mergeCell ref="B26:B27"/>
    <mergeCell ref="C2:D2"/>
    <mergeCell ref="E2:F2"/>
    <mergeCell ref="G2:H2"/>
    <mergeCell ref="I2:J2"/>
    <mergeCell ref="B22:B23"/>
    <mergeCell ref="B2:B3"/>
  </mergeCells>
  <conditionalFormatting sqref="J4:J13">
    <cfRule type="containsText" dxfId="225" priority="396" operator="containsText" text="à rejeter">
      <formula>NOT(ISERROR(SEARCH("à rejeter",J4)))</formula>
    </cfRule>
    <cfRule type="containsText" dxfId="224" priority="402" operator="containsText" text="insuffisant">
      <formula>NOT(ISERROR(SEARCH("insuffisant",J4)))</formula>
    </cfRule>
    <cfRule type="containsText" dxfId="223" priority="403" operator="containsText" text="passable">
      <formula>NOT(ISERROR(SEARCH("passable",J4)))</formula>
    </cfRule>
    <cfRule type="containsText" dxfId="222" priority="404" operator="containsText" text="assez bien">
      <formula>NOT(ISERROR(SEARCH("assez bien",J4)))</formula>
    </cfRule>
    <cfRule type="beginsWith" dxfId="221" priority="405" operator="beginsWith" text="bien">
      <formula>LEFT(J4,LEN("bien"))="bien"</formula>
    </cfRule>
    <cfRule type="containsText" dxfId="220" priority="406" operator="containsText" text="très bien">
      <formula>NOT(ISERROR(SEARCH("très bien",J4)))</formula>
    </cfRule>
  </conditionalFormatting>
  <conditionalFormatting sqref="L4:L13">
    <cfRule type="containsText" dxfId="219" priority="390" operator="containsText" text="à rejeter">
      <formula>NOT(ISERROR(SEARCH("à rejeter",L4)))</formula>
    </cfRule>
    <cfRule type="containsText" dxfId="218" priority="391" operator="containsText" text="insuffisant">
      <formula>NOT(ISERROR(SEARCH("insuffisant",L4)))</formula>
    </cfRule>
    <cfRule type="containsText" dxfId="217" priority="392" operator="containsText" text="passable">
      <formula>NOT(ISERROR(SEARCH("passable",L4)))</formula>
    </cfRule>
    <cfRule type="containsText" dxfId="216" priority="393" operator="containsText" text="assez bien">
      <formula>NOT(ISERROR(SEARCH("assez bien",L4)))</formula>
    </cfRule>
    <cfRule type="beginsWith" dxfId="215" priority="394" operator="beginsWith" text="bien">
      <formula>LEFT(L4,LEN("bien"))="bien"</formula>
    </cfRule>
    <cfRule type="containsText" dxfId="214" priority="395" operator="containsText" text="très bien">
      <formula>NOT(ISERROR(SEARCH("très bien",L4)))</formula>
    </cfRule>
  </conditionalFormatting>
  <conditionalFormatting sqref="H4:H13">
    <cfRule type="containsText" dxfId="213" priority="384" operator="containsText" text="à rejeter">
      <formula>NOT(ISERROR(SEARCH("à rejeter",H4)))</formula>
    </cfRule>
    <cfRule type="containsText" dxfId="212" priority="385" operator="containsText" text="insuffisant">
      <formula>NOT(ISERROR(SEARCH("insuffisant",H4)))</formula>
    </cfRule>
    <cfRule type="containsText" dxfId="211" priority="386" operator="containsText" text="passable">
      <formula>NOT(ISERROR(SEARCH("passable",H4)))</formula>
    </cfRule>
    <cfRule type="containsText" dxfId="210" priority="387" operator="containsText" text="assez bien">
      <formula>NOT(ISERROR(SEARCH("assez bien",H4)))</formula>
    </cfRule>
    <cfRule type="beginsWith" dxfId="209" priority="388" operator="beginsWith" text="bien">
      <formula>LEFT(H4,LEN("bien"))="bien"</formula>
    </cfRule>
    <cfRule type="containsText" dxfId="208" priority="389" operator="containsText" text="très bien">
      <formula>NOT(ISERROR(SEARCH("très bien",H4)))</formula>
    </cfRule>
  </conditionalFormatting>
  <conditionalFormatting sqref="F4:F13">
    <cfRule type="containsText" dxfId="207" priority="378" operator="containsText" text="à rejeter">
      <formula>NOT(ISERROR(SEARCH("à rejeter",F4)))</formula>
    </cfRule>
    <cfRule type="containsText" dxfId="206" priority="379" operator="containsText" text="insuffisant">
      <formula>NOT(ISERROR(SEARCH("insuffisant",F4)))</formula>
    </cfRule>
    <cfRule type="containsText" dxfId="205" priority="380" operator="containsText" text="passable">
      <formula>NOT(ISERROR(SEARCH("passable",F4)))</formula>
    </cfRule>
    <cfRule type="containsText" dxfId="204" priority="381" operator="containsText" text="assez bien">
      <formula>NOT(ISERROR(SEARCH("assez bien",F4)))</formula>
    </cfRule>
    <cfRule type="beginsWith" dxfId="203" priority="382" operator="beginsWith" text="bien">
      <formula>LEFT(F4,LEN("bien"))="bien"</formula>
    </cfRule>
    <cfRule type="containsText" dxfId="202" priority="383" operator="containsText" text="très bien">
      <formula>NOT(ISERROR(SEARCH("très bien",F4)))</formula>
    </cfRule>
  </conditionalFormatting>
  <conditionalFormatting sqref="D4:D13">
    <cfRule type="containsText" dxfId="201" priority="372" operator="containsText" text="à rejeter">
      <formula>NOT(ISERROR(SEARCH("à rejeter",D4)))</formula>
    </cfRule>
    <cfRule type="containsText" dxfId="200" priority="373" operator="containsText" text="insuffisant">
      <formula>NOT(ISERROR(SEARCH("insuffisant",D4)))</formula>
    </cfRule>
    <cfRule type="containsText" dxfId="199" priority="374" operator="containsText" text="passable">
      <formula>NOT(ISERROR(SEARCH("passable",D4)))</formula>
    </cfRule>
    <cfRule type="containsText" dxfId="198" priority="375" operator="containsText" text="assez bien">
      <formula>NOT(ISERROR(SEARCH("assez bien",D4)))</formula>
    </cfRule>
    <cfRule type="beginsWith" dxfId="197" priority="376" operator="beginsWith" text="bien">
      <formula>LEFT(D4,LEN("bien"))="bien"</formula>
    </cfRule>
    <cfRule type="containsText" dxfId="196" priority="377" operator="containsText" text="très bien">
      <formula>NOT(ISERROR(SEARCH("très bien",D4)))</formula>
    </cfRule>
  </conditionalFormatting>
  <conditionalFormatting sqref="C4:C13">
    <cfRule type="containsText" dxfId="195" priority="42" operator="containsText" text="refus de vote">
      <formula>NOT(ISERROR(SEARCH("refus de vote",C4)))</formula>
    </cfRule>
    <cfRule type="containsText" dxfId="194" priority="43" operator="containsText" text="5ème">
      <formula>NOT(ISERROR(SEARCH("5ème",C4)))</formula>
    </cfRule>
    <cfRule type="containsText" dxfId="193" priority="44" operator="containsText" text="4ème">
      <formula>NOT(ISERROR(SEARCH("4ème",C4)))</formula>
    </cfRule>
    <cfRule type="containsText" dxfId="192" priority="45" operator="containsText" text="3ème">
      <formula>NOT(ISERROR(SEARCH("3ème",C4)))</formula>
    </cfRule>
    <cfRule type="beginsWith" dxfId="191" priority="46" operator="beginsWith" text="2ème">
      <formula>LEFT(C4,LEN("2ème"))="2ème"</formula>
    </cfRule>
    <cfRule type="containsText" dxfId="190" priority="47" operator="containsText" text="1ère">
      <formula>NOT(ISERROR(SEARCH("1ère",C4)))</formula>
    </cfRule>
  </conditionalFormatting>
  <conditionalFormatting sqref="E4:E13">
    <cfRule type="containsText" dxfId="189" priority="36" operator="containsText" text="refus de vote">
      <formula>NOT(ISERROR(SEARCH("refus de vote",E4)))</formula>
    </cfRule>
    <cfRule type="containsText" dxfId="188" priority="37" operator="containsText" text="5ème">
      <formula>NOT(ISERROR(SEARCH("5ème",E4)))</formula>
    </cfRule>
    <cfRule type="containsText" dxfId="187" priority="38" operator="containsText" text="4ème">
      <formula>NOT(ISERROR(SEARCH("4ème",E4)))</formula>
    </cfRule>
    <cfRule type="containsText" dxfId="186" priority="39" operator="containsText" text="3ème">
      <formula>NOT(ISERROR(SEARCH("3ème",E4)))</formula>
    </cfRule>
    <cfRule type="beginsWith" dxfId="185" priority="40" operator="beginsWith" text="2ème">
      <formula>LEFT(E4,LEN("2ème"))="2ème"</formula>
    </cfRule>
    <cfRule type="containsText" dxfId="184" priority="41" operator="containsText" text="1ère">
      <formula>NOT(ISERROR(SEARCH("1ère",E4)))</formula>
    </cfRule>
  </conditionalFormatting>
  <conditionalFormatting sqref="G4:G13">
    <cfRule type="containsText" dxfId="183" priority="30" operator="containsText" text="refus de vote">
      <formula>NOT(ISERROR(SEARCH("refus de vote",G4)))</formula>
    </cfRule>
    <cfRule type="containsText" dxfId="182" priority="31" operator="containsText" text="5ème">
      <formula>NOT(ISERROR(SEARCH("5ème",G4)))</formula>
    </cfRule>
    <cfRule type="containsText" dxfId="181" priority="32" operator="containsText" text="4ème">
      <formula>NOT(ISERROR(SEARCH("4ème",G4)))</formula>
    </cfRule>
    <cfRule type="containsText" dxfId="180" priority="33" operator="containsText" text="3ème">
      <formula>NOT(ISERROR(SEARCH("3ème",G4)))</formula>
    </cfRule>
    <cfRule type="beginsWith" dxfId="179" priority="34" operator="beginsWith" text="2ème">
      <formula>LEFT(G4,LEN("2ème"))="2ème"</formula>
    </cfRule>
    <cfRule type="containsText" dxfId="178" priority="35" operator="containsText" text="1ère">
      <formula>NOT(ISERROR(SEARCH("1ère",G4)))</formula>
    </cfRule>
  </conditionalFormatting>
  <conditionalFormatting sqref="I4:I13">
    <cfRule type="containsText" dxfId="177" priority="24" operator="containsText" text="refus de vote">
      <formula>NOT(ISERROR(SEARCH("refus de vote",I4)))</formula>
    </cfRule>
    <cfRule type="containsText" dxfId="176" priority="25" operator="containsText" text="5ème">
      <formula>NOT(ISERROR(SEARCH("5ème",I4)))</formula>
    </cfRule>
    <cfRule type="containsText" dxfId="175" priority="26" operator="containsText" text="4ème">
      <formula>NOT(ISERROR(SEARCH("4ème",I4)))</formula>
    </cfRule>
    <cfRule type="containsText" dxfId="174" priority="27" operator="containsText" text="3ème">
      <formula>NOT(ISERROR(SEARCH("3ème",I4)))</formula>
    </cfRule>
    <cfRule type="beginsWith" dxfId="173" priority="28" operator="beginsWith" text="2ème">
      <formula>LEFT(I4,LEN("2ème"))="2ème"</formula>
    </cfRule>
    <cfRule type="containsText" dxfId="172" priority="29" operator="containsText" text="1ère">
      <formula>NOT(ISERROR(SEARCH("1ère",I4)))</formula>
    </cfRule>
  </conditionalFormatting>
  <conditionalFormatting sqref="K4:K13">
    <cfRule type="containsText" dxfId="171" priority="18" operator="containsText" text="refus de vote">
      <formula>NOT(ISERROR(SEARCH("refus de vote",K4)))</formula>
    </cfRule>
    <cfRule type="containsText" dxfId="170" priority="19" operator="containsText" text="5ème">
      <formula>NOT(ISERROR(SEARCH("5ème",K4)))</formula>
    </cfRule>
    <cfRule type="containsText" dxfId="169" priority="20" operator="containsText" text="4ème">
      <formula>NOT(ISERROR(SEARCH("4ème",K4)))</formula>
    </cfRule>
    <cfRule type="containsText" dxfId="168" priority="21" operator="containsText" text="3ème">
      <formula>NOT(ISERROR(SEARCH("3ème",K4)))</formula>
    </cfRule>
    <cfRule type="beginsWith" dxfId="167" priority="22" operator="beginsWith" text="2ème">
      <formula>LEFT(K4,LEN("2ème"))="2ème"</formula>
    </cfRule>
    <cfRule type="containsText" dxfId="166" priority="23" operator="containsText" text="1ère">
      <formula>NOT(ISERROR(SEARCH("1ère",K4)))</formula>
    </cfRule>
  </conditionalFormatting>
  <conditionalFormatting sqref="N4:N13">
    <cfRule type="cellIs" dxfId="165" priority="13" operator="equal">
      <formula>"Invalide"</formula>
    </cfRule>
    <cfRule type="cellIs" dxfId="164" priority="14" operator="equal">
      <formula>"Valide"</formula>
    </cfRule>
  </conditionalFormatting>
  <conditionalFormatting sqref="B4:C4 E4 G4 I4 K4 M4:N4">
    <cfRule type="expression" dxfId="163" priority="12">
      <formula>$N$4="Invalide"</formula>
    </cfRule>
  </conditionalFormatting>
  <conditionalFormatting sqref="B5:C5 E5 G5 I5 K5 M5:N5">
    <cfRule type="expression" dxfId="162" priority="11">
      <formula>$N$5="Invalide"</formula>
    </cfRule>
  </conditionalFormatting>
  <conditionalFormatting sqref="B6:C6 E6 G6 I6 K6 M6:N6">
    <cfRule type="expression" dxfId="161" priority="10">
      <formula>$N$6="Invalide"</formula>
    </cfRule>
  </conditionalFormatting>
  <conditionalFormatting sqref="B7:C7 E7 G7 I7 K7 M7:N7">
    <cfRule type="expression" dxfId="160" priority="9">
      <formula>$N$7="Invalide"</formula>
    </cfRule>
  </conditionalFormatting>
  <conditionalFormatting sqref="B8:C8 E8 G8 I8 K8 M8:N8">
    <cfRule type="expression" dxfId="159" priority="8">
      <formula>$N$8="Invalide"</formula>
    </cfRule>
  </conditionalFormatting>
  <conditionalFormatting sqref="B9:C9 E9 G9 I9 K9 M9:N9">
    <cfRule type="expression" dxfId="158" priority="7">
      <formula>$N$9="Invalide"</formula>
    </cfRule>
  </conditionalFormatting>
  <conditionalFormatting sqref="B10:C10 E10 G10 I10 K10 M10:N10">
    <cfRule type="expression" dxfId="157" priority="6">
      <formula>$N$10="Invalide"</formula>
    </cfRule>
  </conditionalFormatting>
  <conditionalFormatting sqref="B11:C11 E11 G11 I11 K11 M11:N11">
    <cfRule type="expression" dxfId="156" priority="5">
      <formula>$N$11="Invalide"</formula>
    </cfRule>
  </conditionalFormatting>
  <conditionalFormatting sqref="B12:C12 E12 G12 I12 K12 M12:N12">
    <cfRule type="expression" dxfId="155" priority="4">
      <formula>$N$12="Invalide"</formula>
    </cfRule>
  </conditionalFormatting>
  <conditionalFormatting sqref="B13:C13 E13 G13 I13 K13 M13:N13">
    <cfRule type="expression" dxfId="154" priority="3">
      <formula>$N$13="Invalide"</formula>
    </cfRule>
  </conditionalFormatting>
  <conditionalFormatting sqref="N3">
    <cfRule type="expression" dxfId="153" priority="16">
      <formula>NOT(COUNTIF($N$4:$N$13,"Invalide"))</formula>
    </cfRule>
    <cfRule type="expression" dxfId="152" priority="17">
      <formula>COUNTIF($N$4:$N$13,"Invalide")</formula>
    </cfRule>
  </conditionalFormatting>
  <pageMargins left="0.25" right="0.25" top="0.75" bottom="0.75" header="0.3" footer="0.3"/>
  <pageSetup paperSize="9" scale="60" orientation="landscape" horizontalDpi="360" verticalDpi="360" r:id="rId1"/>
  <ignoredErrors>
    <ignoredError sqref="H14 J14 F14 D1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Valeurs!$A$1:$A$6</xm:f>
          </x14:formula1>
          <xm:sqref>D4:D13 F4:F13 H4:H13 J4:J13 L4:L13</xm:sqref>
        </x14:dataValidation>
        <x14:dataValidation type="list" allowBlank="1" showInputMessage="1" showErrorMessage="1" xr:uid="{DFD0DAE6-892E-418D-AE57-956EAFB3622F}">
          <x14:formula1>
            <xm:f>Valeurs!$E$1:$E$6</xm:f>
          </x14:formula1>
          <xm:sqref>C4:C13 E4:E13 G4:G13 I4:I13 K4:K13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7F03-7E27-4B18-8455-BC14EECB0C65}">
  <dimension ref="A1:H11"/>
  <sheetViews>
    <sheetView workbookViewId="0">
      <selection activeCell="B1" sqref="B1"/>
    </sheetView>
  </sheetViews>
  <sheetFormatPr defaultColWidth="9.140625" defaultRowHeight="15" x14ac:dyDescent="0.25"/>
  <cols>
    <col min="1" max="1" width="13.5703125" customWidth="1"/>
    <col min="2" max="7" width="15.7109375" customWidth="1"/>
    <col min="8" max="8" width="15.5703125" customWidth="1"/>
  </cols>
  <sheetData>
    <row r="1" spans="1:8" ht="15.75" x14ac:dyDescent="0.25">
      <c r="A1" s="39"/>
      <c r="B1" s="41" t="s">
        <v>55</v>
      </c>
      <c r="C1" s="41" t="s">
        <v>23</v>
      </c>
      <c r="D1" s="41" t="s">
        <v>24</v>
      </c>
      <c r="E1" s="41" t="s">
        <v>25</v>
      </c>
      <c r="F1" s="41" t="s">
        <v>26</v>
      </c>
      <c r="G1" s="41" t="s">
        <v>35</v>
      </c>
      <c r="H1" s="38" t="s">
        <v>56</v>
      </c>
    </row>
    <row r="2" spans="1:8" x14ac:dyDescent="0.25">
      <c r="A2" s="40" t="s">
        <v>42</v>
      </c>
      <c r="B2" s="39">
        <f>COUNTIF('Vote et Résultats'!$C4:$L4,B$1)</f>
        <v>1</v>
      </c>
      <c r="C2" s="39">
        <f>COUNTIF('Vote et Résultats'!$C4:$L4,C$1)</f>
        <v>1</v>
      </c>
      <c r="D2" s="39">
        <f>COUNTIF('Vote et Résultats'!$C4:$L4,D$1)</f>
        <v>0</v>
      </c>
      <c r="E2" s="39">
        <f>COUNTIF('Vote et Résultats'!$C4:$L4,E$1)</f>
        <v>0</v>
      </c>
      <c r="F2" s="39">
        <f>COUNTIF('Vote et Résultats'!$C4:$L4,F$1)</f>
        <v>0</v>
      </c>
      <c r="G2" s="39">
        <f>COUNTIF('Vote et Résultats'!$C4:$L4,G$1)</f>
        <v>3</v>
      </c>
      <c r="H2" s="42" t="str">
        <f>IF(AND(NOT(COUNTIF(B2:F2,"&gt;1")),OR(NOT(F2),AND(E2,D2,C2,B2)),OR(NOT(E2),AND(D2,C2,B2)),OR(NOT(D2),AND(C2,B2)),OR(NOT(C2),B2)),"Valide","Invalide")</f>
        <v>Valide</v>
      </c>
    </row>
    <row r="3" spans="1:8" x14ac:dyDescent="0.25">
      <c r="A3" s="40" t="s">
        <v>43</v>
      </c>
      <c r="B3" s="39">
        <f>COUNTIF('Vote et Résultats'!$C5:$L5,B$1)</f>
        <v>1</v>
      </c>
      <c r="C3" s="39">
        <f>COUNTIF('Vote et Résultats'!$C5:$L5,C$1)</f>
        <v>1</v>
      </c>
      <c r="D3" s="39">
        <f>COUNTIF('Vote et Résultats'!$C5:$L5,D$1)</f>
        <v>1</v>
      </c>
      <c r="E3" s="39">
        <f>COUNTIF('Vote et Résultats'!$C5:$L5,E$1)</f>
        <v>0</v>
      </c>
      <c r="F3" s="39">
        <f>COUNTIF('Vote et Résultats'!$C5:$L5,F$1)</f>
        <v>0</v>
      </c>
      <c r="G3" s="39">
        <f>COUNTIF('Vote et Résultats'!$C5:$L5,G$1)</f>
        <v>2</v>
      </c>
      <c r="H3" s="42" t="str">
        <f t="shared" ref="H3:H11" si="0">IF(AND(NOT(COUNTIF(B3:F3,"&gt;1")),OR(NOT(F3),AND(E3,D3,C3,B3)),OR(NOT(E3),AND(D3,C3,B3)),OR(NOT(D3),AND(C3,B3)),OR(NOT(C3),B3)),"Valide","Invalide")</f>
        <v>Valide</v>
      </c>
    </row>
    <row r="4" spans="1:8" x14ac:dyDescent="0.25">
      <c r="A4" s="40" t="s">
        <v>44</v>
      </c>
      <c r="B4" s="39">
        <f>COUNTIF('Vote et Résultats'!$C6:$L6,B$1)</f>
        <v>1</v>
      </c>
      <c r="C4" s="39">
        <f>COUNTIF('Vote et Résultats'!$C6:$L6,C$1)</f>
        <v>1</v>
      </c>
      <c r="D4" s="39">
        <f>COUNTIF('Vote et Résultats'!$C6:$L6,D$1)</f>
        <v>1</v>
      </c>
      <c r="E4" s="39">
        <f>COUNTIF('Vote et Résultats'!$C6:$L6,E$1)</f>
        <v>1</v>
      </c>
      <c r="F4" s="39">
        <f>COUNTIF('Vote et Résultats'!$C6:$L6,F$1)</f>
        <v>0</v>
      </c>
      <c r="G4" s="39">
        <f>COUNTIF('Vote et Résultats'!$C6:$L6,G$1)</f>
        <v>1</v>
      </c>
      <c r="H4" s="42" t="str">
        <f t="shared" si="0"/>
        <v>Valide</v>
      </c>
    </row>
    <row r="5" spans="1:8" x14ac:dyDescent="0.25">
      <c r="A5" s="40" t="s">
        <v>45</v>
      </c>
      <c r="B5" s="39">
        <f>COUNTIF('Vote et Résultats'!$C7:$L7,B$1)</f>
        <v>1</v>
      </c>
      <c r="C5" s="39">
        <f>COUNTIF('Vote et Résultats'!$C7:$L7,C$1)</f>
        <v>1</v>
      </c>
      <c r="D5" s="39">
        <f>COUNTIF('Vote et Résultats'!$C7:$L7,D$1)</f>
        <v>1</v>
      </c>
      <c r="E5" s="39">
        <f>COUNTIF('Vote et Résultats'!$C7:$L7,E$1)</f>
        <v>1</v>
      </c>
      <c r="F5" s="39">
        <f>COUNTIF('Vote et Résultats'!$C7:$L7,F$1)</f>
        <v>1</v>
      </c>
      <c r="G5" s="39">
        <f>COUNTIF('Vote et Résultats'!$C7:$L7,G$1)</f>
        <v>0</v>
      </c>
      <c r="H5" s="42" t="str">
        <f t="shared" si="0"/>
        <v>Valide</v>
      </c>
    </row>
    <row r="6" spans="1:8" x14ac:dyDescent="0.25">
      <c r="A6" s="40" t="s">
        <v>46</v>
      </c>
      <c r="B6" s="39">
        <f>COUNTIF('Vote et Résultats'!$C8:$L8,B$1)</f>
        <v>1</v>
      </c>
      <c r="C6" s="39">
        <f>COUNTIF('Vote et Résultats'!$C8:$L8,C$1)</f>
        <v>1</v>
      </c>
      <c r="D6" s="39">
        <f>COUNTIF('Vote et Résultats'!$C8:$L8,D$1)</f>
        <v>1</v>
      </c>
      <c r="E6" s="39">
        <f>COUNTIF('Vote et Résultats'!$C8:$L8,E$1)</f>
        <v>1</v>
      </c>
      <c r="F6" s="39">
        <f>COUNTIF('Vote et Résultats'!$C8:$L8,F$1)</f>
        <v>1</v>
      </c>
      <c r="G6" s="39">
        <f>COUNTIF('Vote et Résultats'!$C8:$L8,G$1)</f>
        <v>0</v>
      </c>
      <c r="H6" s="42" t="str">
        <f t="shared" si="0"/>
        <v>Valide</v>
      </c>
    </row>
    <row r="7" spans="1:8" x14ac:dyDescent="0.25">
      <c r="A7" s="40" t="s">
        <v>47</v>
      </c>
      <c r="B7" s="39">
        <f>COUNTIF('Vote et Résultats'!$C9:$L9,B$1)</f>
        <v>1</v>
      </c>
      <c r="C7" s="39">
        <f>COUNTIF('Vote et Résultats'!$C9:$L9,C$1)</f>
        <v>1</v>
      </c>
      <c r="D7" s="39">
        <f>COUNTIF('Vote et Résultats'!$C9:$L9,D$1)</f>
        <v>1</v>
      </c>
      <c r="E7" s="39">
        <f>COUNTIF('Vote et Résultats'!$C9:$L9,E$1)</f>
        <v>1</v>
      </c>
      <c r="F7" s="39">
        <f>COUNTIF('Vote et Résultats'!$C9:$L9,F$1)</f>
        <v>1</v>
      </c>
      <c r="G7" s="39">
        <f>COUNTIF('Vote et Résultats'!$C9:$L9,G$1)</f>
        <v>0</v>
      </c>
      <c r="H7" s="42" t="str">
        <f t="shared" si="0"/>
        <v>Valide</v>
      </c>
    </row>
    <row r="8" spans="1:8" x14ac:dyDescent="0.25">
      <c r="A8" s="40" t="s">
        <v>48</v>
      </c>
      <c r="B8" s="39">
        <f>COUNTIF('Vote et Résultats'!$C10:$L10,B$1)</f>
        <v>1</v>
      </c>
      <c r="C8" s="39">
        <f>COUNTIF('Vote et Résultats'!$C10:$L10,C$1)</f>
        <v>1</v>
      </c>
      <c r="D8" s="39">
        <f>COUNTIF('Vote et Résultats'!$C10:$L10,D$1)</f>
        <v>1</v>
      </c>
      <c r="E8" s="39">
        <f>COUNTIF('Vote et Résultats'!$C10:$L10,E$1)</f>
        <v>1</v>
      </c>
      <c r="F8" s="39">
        <f>COUNTIF('Vote et Résultats'!$C10:$L10,F$1)</f>
        <v>0</v>
      </c>
      <c r="G8" s="39">
        <f>COUNTIF('Vote et Résultats'!$C10:$L10,G$1)</f>
        <v>1</v>
      </c>
      <c r="H8" s="42" t="str">
        <f t="shared" si="0"/>
        <v>Valide</v>
      </c>
    </row>
    <row r="9" spans="1:8" x14ac:dyDescent="0.25">
      <c r="A9" s="40" t="s">
        <v>49</v>
      </c>
      <c r="B9" s="39">
        <f>COUNTIF('Vote et Résultats'!$C11:$L11,B$1)</f>
        <v>1</v>
      </c>
      <c r="C9" s="39">
        <f>COUNTIF('Vote et Résultats'!$C11:$L11,C$1)</f>
        <v>1</v>
      </c>
      <c r="D9" s="39">
        <f>COUNTIF('Vote et Résultats'!$C11:$L11,D$1)</f>
        <v>1</v>
      </c>
      <c r="E9" s="39">
        <f>COUNTIF('Vote et Résultats'!$C11:$L11,E$1)</f>
        <v>1</v>
      </c>
      <c r="F9" s="39">
        <f>COUNTIF('Vote et Résultats'!$C11:$L11,F$1)</f>
        <v>0</v>
      </c>
      <c r="G9" s="39">
        <f>COUNTIF('Vote et Résultats'!$C11:$L11,G$1)</f>
        <v>1</v>
      </c>
      <c r="H9" s="42" t="str">
        <f t="shared" si="0"/>
        <v>Valide</v>
      </c>
    </row>
    <row r="10" spans="1:8" x14ac:dyDescent="0.25">
      <c r="A10" s="40" t="s">
        <v>50</v>
      </c>
      <c r="B10" s="39">
        <f>COUNTIF('Vote et Résultats'!$C12:$L12,B$1)</f>
        <v>1</v>
      </c>
      <c r="C10" s="39">
        <f>COUNTIF('Vote et Résultats'!$C12:$L12,C$1)</f>
        <v>1</v>
      </c>
      <c r="D10" s="39">
        <f>COUNTIF('Vote et Résultats'!$C12:$L12,D$1)</f>
        <v>1</v>
      </c>
      <c r="E10" s="39">
        <f>COUNTIF('Vote et Résultats'!$C12:$L12,E$1)</f>
        <v>1</v>
      </c>
      <c r="F10" s="39">
        <f>COUNTIF('Vote et Résultats'!$C12:$L12,F$1)</f>
        <v>0</v>
      </c>
      <c r="G10" s="39">
        <f>COUNTIF('Vote et Résultats'!$C12:$L12,G$1)</f>
        <v>1</v>
      </c>
      <c r="H10" s="42" t="str">
        <f t="shared" si="0"/>
        <v>Valide</v>
      </c>
    </row>
    <row r="11" spans="1:8" x14ac:dyDescent="0.25">
      <c r="A11" s="40" t="s">
        <v>51</v>
      </c>
      <c r="B11" s="39">
        <f>COUNTIF('Vote et Résultats'!$C13:$L13,B$1)</f>
        <v>1</v>
      </c>
      <c r="C11" s="39">
        <f>COUNTIF('Vote et Résultats'!$C13:$L13,C$1)</f>
        <v>1</v>
      </c>
      <c r="D11" s="39">
        <f>COUNTIF('Vote et Résultats'!$C13:$L13,D$1)</f>
        <v>1</v>
      </c>
      <c r="E11" s="39">
        <f>COUNTIF('Vote et Résultats'!$C13:$L13,E$1)</f>
        <v>1</v>
      </c>
      <c r="F11" s="39">
        <f>COUNTIF('Vote et Résultats'!$C13:$L13,F$1)</f>
        <v>0</v>
      </c>
      <c r="G11" s="39">
        <f>COUNTIF('Vote et Résultats'!$C13:$L13,G$1)</f>
        <v>1</v>
      </c>
      <c r="H11" s="42" t="str">
        <f t="shared" si="0"/>
        <v>Valide</v>
      </c>
    </row>
  </sheetData>
  <conditionalFormatting sqref="B1">
    <cfRule type="containsText" dxfId="151" priority="35" operator="containsText" text="refus de vote">
      <formula>NOT(ISERROR(SEARCH("refus de vote",B1)))</formula>
    </cfRule>
    <cfRule type="containsText" dxfId="150" priority="36" operator="containsText" text="5ème">
      <formula>NOT(ISERROR(SEARCH("5ème",B1)))</formula>
    </cfRule>
    <cfRule type="containsText" dxfId="149" priority="37" operator="containsText" text="4ème">
      <formula>NOT(ISERROR(SEARCH("4ème",B1)))</formula>
    </cfRule>
    <cfRule type="containsText" dxfId="148" priority="38" operator="containsText" text="3ème">
      <formula>NOT(ISERROR(SEARCH("3ème",B1)))</formula>
    </cfRule>
    <cfRule type="beginsWith" dxfId="147" priority="39" operator="beginsWith" text="2ème">
      <formula>LEFT(B1,LEN("2ème"))="2ème"</formula>
    </cfRule>
    <cfRule type="containsText" dxfId="146" priority="40" operator="containsText" text="1ère">
      <formula>NOT(ISERROR(SEARCH("1ère",B1)))</formula>
    </cfRule>
  </conditionalFormatting>
  <conditionalFormatting sqref="C1">
    <cfRule type="containsText" dxfId="145" priority="29" operator="containsText" text="refus de vote">
      <formula>NOT(ISERROR(SEARCH("refus de vote",C1)))</formula>
    </cfRule>
    <cfRule type="containsText" dxfId="144" priority="30" operator="containsText" text="5ème">
      <formula>NOT(ISERROR(SEARCH("5ème",C1)))</formula>
    </cfRule>
    <cfRule type="containsText" dxfId="143" priority="31" operator="containsText" text="4ème">
      <formula>NOT(ISERROR(SEARCH("4ème",C1)))</formula>
    </cfRule>
    <cfRule type="containsText" dxfId="142" priority="32" operator="containsText" text="3ème">
      <formula>NOT(ISERROR(SEARCH("3ème",C1)))</formula>
    </cfRule>
    <cfRule type="beginsWith" dxfId="141" priority="33" operator="beginsWith" text="2ème">
      <formula>LEFT(C1,LEN("2ème"))="2ème"</formula>
    </cfRule>
    <cfRule type="containsText" dxfId="140" priority="34" operator="containsText" text="1ère">
      <formula>NOT(ISERROR(SEARCH("1ère",C1)))</formula>
    </cfRule>
  </conditionalFormatting>
  <conditionalFormatting sqref="D1">
    <cfRule type="containsText" dxfId="139" priority="23" operator="containsText" text="refus de vote">
      <formula>NOT(ISERROR(SEARCH("refus de vote",D1)))</formula>
    </cfRule>
    <cfRule type="containsText" dxfId="138" priority="24" operator="containsText" text="5ème">
      <formula>NOT(ISERROR(SEARCH("5ème",D1)))</formula>
    </cfRule>
    <cfRule type="containsText" dxfId="137" priority="25" operator="containsText" text="4ème">
      <formula>NOT(ISERROR(SEARCH("4ème",D1)))</formula>
    </cfRule>
    <cfRule type="containsText" dxfId="136" priority="26" operator="containsText" text="3ème">
      <formula>NOT(ISERROR(SEARCH("3ème",D1)))</formula>
    </cfRule>
    <cfRule type="beginsWith" dxfId="135" priority="27" operator="beginsWith" text="2ème">
      <formula>LEFT(D1,LEN("2ème"))="2ème"</formula>
    </cfRule>
    <cfRule type="containsText" dxfId="134" priority="28" operator="containsText" text="1ère">
      <formula>NOT(ISERROR(SEARCH("1ère",D1)))</formula>
    </cfRule>
  </conditionalFormatting>
  <conditionalFormatting sqref="E1">
    <cfRule type="containsText" dxfId="133" priority="17" operator="containsText" text="refus de vote">
      <formula>NOT(ISERROR(SEARCH("refus de vote",E1)))</formula>
    </cfRule>
    <cfRule type="containsText" dxfId="132" priority="18" operator="containsText" text="5ème">
      <formula>NOT(ISERROR(SEARCH("5ème",E1)))</formula>
    </cfRule>
    <cfRule type="containsText" dxfId="131" priority="19" operator="containsText" text="4ème">
      <formula>NOT(ISERROR(SEARCH("4ème",E1)))</formula>
    </cfRule>
    <cfRule type="containsText" dxfId="130" priority="20" operator="containsText" text="3ème">
      <formula>NOT(ISERROR(SEARCH("3ème",E1)))</formula>
    </cfRule>
    <cfRule type="beginsWith" dxfId="129" priority="21" operator="beginsWith" text="2ème">
      <formula>LEFT(E1,LEN("2ème"))="2ème"</formula>
    </cfRule>
    <cfRule type="containsText" dxfId="128" priority="22" operator="containsText" text="1ère">
      <formula>NOT(ISERROR(SEARCH("1ère",E1)))</formula>
    </cfRule>
  </conditionalFormatting>
  <conditionalFormatting sqref="F1">
    <cfRule type="containsText" dxfId="127" priority="11" operator="containsText" text="refus de vote">
      <formula>NOT(ISERROR(SEARCH("refus de vote",F1)))</formula>
    </cfRule>
    <cfRule type="containsText" dxfId="126" priority="12" operator="containsText" text="5ème">
      <formula>NOT(ISERROR(SEARCH("5ème",F1)))</formula>
    </cfRule>
    <cfRule type="containsText" dxfId="125" priority="13" operator="containsText" text="4ème">
      <formula>NOT(ISERROR(SEARCH("4ème",F1)))</formula>
    </cfRule>
    <cfRule type="containsText" dxfId="124" priority="14" operator="containsText" text="3ème">
      <formula>NOT(ISERROR(SEARCH("3ème",F1)))</formula>
    </cfRule>
    <cfRule type="beginsWith" dxfId="123" priority="15" operator="beginsWith" text="2ème">
      <formula>LEFT(F1,LEN("2ème"))="2ème"</formula>
    </cfRule>
    <cfRule type="containsText" dxfId="122" priority="16" operator="containsText" text="1ère">
      <formula>NOT(ISERROR(SEARCH("1ère",F1)))</formula>
    </cfRule>
  </conditionalFormatting>
  <conditionalFormatting sqref="G1">
    <cfRule type="containsText" dxfId="121" priority="5" operator="containsText" text="refus de vote">
      <formula>NOT(ISERROR(SEARCH("refus de vote",G1)))</formula>
    </cfRule>
    <cfRule type="containsText" dxfId="120" priority="6" operator="containsText" text="5ème">
      <formula>NOT(ISERROR(SEARCH("5ème",G1)))</formula>
    </cfRule>
    <cfRule type="containsText" dxfId="119" priority="7" operator="containsText" text="4ème">
      <formula>NOT(ISERROR(SEARCH("4ème",G1)))</formula>
    </cfRule>
    <cfRule type="containsText" dxfId="118" priority="8" operator="containsText" text="3ème">
      <formula>NOT(ISERROR(SEARCH("3ème",G1)))</formula>
    </cfRule>
    <cfRule type="beginsWith" dxfId="117" priority="9" operator="beginsWith" text="2ème">
      <formula>LEFT(G1,LEN("2ème"))="2ème"</formula>
    </cfRule>
    <cfRule type="containsText" dxfId="116" priority="10" operator="containsText" text="1ère">
      <formula>NOT(ISERROR(SEARCH("1ère",G1)))</formula>
    </cfRule>
  </conditionalFormatting>
  <conditionalFormatting sqref="H2:H11">
    <cfRule type="cellIs" dxfId="115" priority="3" operator="equal">
      <formula>"Invalide"</formula>
    </cfRule>
    <cfRule type="cellIs" dxfId="114" priority="4" operator="equal">
      <formula>"Valide"</formula>
    </cfRule>
  </conditionalFormatting>
  <conditionalFormatting sqref="H1">
    <cfRule type="expression" dxfId="113" priority="1">
      <formula>NOT(COUNTIF($H$2:$H$11,"Invalide"))</formula>
    </cfRule>
    <cfRule type="expression" dxfId="112" priority="2">
      <formula>COUNTIF($H$2:$H$11,"Invalide")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489B-FF45-45B9-A5A6-BE380CF535ED}">
  <dimension ref="A1:O39"/>
  <sheetViews>
    <sheetView workbookViewId="0">
      <selection activeCell="B3" sqref="B3"/>
    </sheetView>
  </sheetViews>
  <sheetFormatPr defaultColWidth="9.140625" defaultRowHeight="15" x14ac:dyDescent="0.25"/>
  <cols>
    <col min="1" max="11" width="11.140625" customWidth="1"/>
    <col min="12" max="12" width="16.7109375" customWidth="1"/>
    <col min="13" max="13" width="4.7109375" hidden="1" customWidth="1"/>
    <col min="14" max="14" width="13.7109375" customWidth="1"/>
    <col min="15" max="15" width="13.85546875" customWidth="1"/>
  </cols>
  <sheetData>
    <row r="1" spans="1:15" x14ac:dyDescent="0.25">
      <c r="A1" s="121" t="s">
        <v>61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63</v>
      </c>
      <c r="M2" t="s">
        <v>77</v>
      </c>
      <c r="N2" t="s">
        <v>78</v>
      </c>
      <c r="O2" t="s">
        <v>76</v>
      </c>
    </row>
    <row r="3" spans="1:15" x14ac:dyDescent="0.25">
      <c r="A3" t="s">
        <v>34</v>
      </c>
      <c r="B3" s="15">
        <f>IF('Vote et Résultats'!$N$4="Valide",VLOOKUP('Vote et Résultats'!$C4,Valeurs!$E$1:$F$6,2,FALSE),"")</f>
        <v>1</v>
      </c>
      <c r="C3" s="15">
        <f>IF('Vote et Résultats'!$N$5="Valide",VLOOKUP('Vote et Résultats'!$C5,Valeurs!$E$1:$F$6,2,FALSE),"")</f>
        <v>1</v>
      </c>
      <c r="D3" s="15">
        <f>IF('Vote et Résultats'!$N$6="Valide",VLOOKUP('Vote et Résultats'!$C6,Valeurs!$E$1:$F$6,2,FALSE),"")</f>
        <v>1</v>
      </c>
      <c r="E3" s="15">
        <f>IF('Vote et Résultats'!$N$7="Valide",VLOOKUP('Vote et Résultats'!$C7,Valeurs!$E$1:$F$6,2,FALSE),"")</f>
        <v>1</v>
      </c>
      <c r="F3" s="15">
        <f>IF('Vote et Résultats'!$N$8="Valide",VLOOKUP('Vote et Résultats'!$C8,Valeurs!$E$1:$F$6,2,FALSE),"")</f>
        <v>1</v>
      </c>
      <c r="G3" s="15">
        <f>IF('Vote et Résultats'!$N$9="Valide",VLOOKUP('Vote et Résultats'!$C9,Valeurs!$E$1:$F$6,2,FALSE),"")</f>
        <v>1</v>
      </c>
      <c r="H3" s="15">
        <f>IF('Vote et Résultats'!$N$10="Valide",VLOOKUP('Vote et Résultats'!$C10,Valeurs!$E$1:$F$6,2,FALSE),"")</f>
        <v>6</v>
      </c>
      <c r="I3" s="15">
        <f>IF('Vote et Résultats'!$N$11="Valide",VLOOKUP('Vote et Résultats'!$C11,Valeurs!$E$1:$F$6,2,FALSE),"")</f>
        <v>6</v>
      </c>
      <c r="J3" s="15">
        <f>IF('Vote et Résultats'!$N$12="Valide",VLOOKUP('Vote et Résultats'!$C12,Valeurs!$E$1:$F$6,2,FALSE),"")</f>
        <v>6</v>
      </c>
      <c r="K3" s="15">
        <f>IF('Vote et Résultats'!$N$13="Valide",VLOOKUP('Vote et Résultats'!$C13,Valeurs!$E$1:$F$6,2,FALSE),"")</f>
        <v>6</v>
      </c>
      <c r="L3" t="str">
        <f>IF(N3&gt;=6,"gagnante tour "&amp;M3,IF(OR(COUNTIF(N3:N7,"&gt;=6"),N3=MIN(N3:N7)),"éliminée tour "&amp;M3,""))</f>
        <v>gagnante tour 1</v>
      </c>
      <c r="M3">
        <v>1</v>
      </c>
      <c r="N3">
        <f>COUNTIF(B3:K3,1)</f>
        <v>6</v>
      </c>
      <c r="O3">
        <f>RANK(N3,N3:N7)</f>
        <v>1</v>
      </c>
    </row>
    <row r="4" spans="1:15" x14ac:dyDescent="0.25">
      <c r="A4" t="s">
        <v>0</v>
      </c>
      <c r="B4" s="15">
        <f>IF('Vote et Résultats'!$N$4="Valide",VLOOKUP('Vote et Résultats'!$E4,Valeurs!$E$1:$F$6,2,FALSE),"")</f>
        <v>6</v>
      </c>
      <c r="C4" s="15">
        <f>IF('Vote et Résultats'!$N$5="Valide",VLOOKUP('Vote et Résultats'!$E5,Valeurs!$E$1:$F$6,2,FALSE),"")</f>
        <v>3</v>
      </c>
      <c r="D4" s="15">
        <f>IF('Vote et Résultats'!$N$6="Valide",VLOOKUP('Vote et Résultats'!$E6,Valeurs!$E$1:$F$6,2,FALSE),"")</f>
        <v>2</v>
      </c>
      <c r="E4" s="15">
        <f>IF('Vote et Résultats'!$N$7="Valide",VLOOKUP('Vote et Résultats'!$E7,Valeurs!$E$1:$F$6,2,FALSE),"")</f>
        <v>2</v>
      </c>
      <c r="F4" s="15">
        <f>IF('Vote et Résultats'!$N$8="Valide",VLOOKUP('Vote et Résultats'!$E8,Valeurs!$E$1:$F$6,2,FALSE),"")</f>
        <v>5</v>
      </c>
      <c r="G4" s="15">
        <f>IF('Vote et Résultats'!$N$9="Valide",VLOOKUP('Vote et Résultats'!$E9,Valeurs!$E$1:$F$6,2,FALSE),"")</f>
        <v>2</v>
      </c>
      <c r="H4" s="15">
        <f>IF('Vote et Résultats'!$N$10="Valide",VLOOKUP('Vote et Résultats'!$E10,Valeurs!$E$1:$F$6,2,FALSE),"")</f>
        <v>4</v>
      </c>
      <c r="I4" s="15">
        <f>IF('Vote et Résultats'!$N$11="Valide",VLOOKUP('Vote et Résultats'!$E11,Valeurs!$E$1:$F$6,2,FALSE),"")</f>
        <v>1</v>
      </c>
      <c r="J4" s="15">
        <f>IF('Vote et Résultats'!$N$12="Valide",VLOOKUP('Vote et Résultats'!$E12,Valeurs!$E$1:$F$6,2,FALSE),"")</f>
        <v>1</v>
      </c>
      <c r="K4" s="15">
        <f>IF('Vote et Résultats'!$N$13="Valide",VLOOKUP('Vote et Résultats'!$E13,Valeurs!$E$1:$F$6,2,FALSE),"")</f>
        <v>1</v>
      </c>
      <c r="L4" t="str">
        <f>IF(N4&gt;=6,"gagnante tour "&amp;M4,IF(OR(COUNTIF(N3:N7,"&gt;=6"),N4=MIN(N3:N7)),"éliminée tour "&amp;M4,""))</f>
        <v>éliminée tour 1</v>
      </c>
      <c r="M4">
        <v>1</v>
      </c>
      <c r="N4">
        <f t="shared" ref="N4:N7" si="0">COUNTIF(B4:K4,1)</f>
        <v>3</v>
      </c>
      <c r="O4">
        <f>RANK(N4,N3:N7)</f>
        <v>2</v>
      </c>
    </row>
    <row r="5" spans="1:15" x14ac:dyDescent="0.25">
      <c r="A5" t="s">
        <v>1</v>
      </c>
      <c r="B5" s="15">
        <f>IF('Vote et Résultats'!$N$4="Valide",VLOOKUP('Vote et Résultats'!$G4,Valeurs!$E$1:$F$6,2,FALSE),"")</f>
        <v>2</v>
      </c>
      <c r="C5" s="15">
        <f>IF('Vote et Résultats'!$N$5="Valide",VLOOKUP('Vote et Résultats'!$G5,Valeurs!$E$1:$F$6,2,FALSE),"")</f>
        <v>2</v>
      </c>
      <c r="D5" s="15">
        <f>IF('Vote et Résultats'!$N$6="Valide",VLOOKUP('Vote et Résultats'!$G6,Valeurs!$E$1:$F$6,2,FALSE),"")</f>
        <v>3</v>
      </c>
      <c r="E5" s="15">
        <f>IF('Vote et Résultats'!$N$7="Valide",VLOOKUP('Vote et Résultats'!$G7,Valeurs!$E$1:$F$6,2,FALSE),"")</f>
        <v>3</v>
      </c>
      <c r="F5" s="15">
        <f>IF('Vote et Résultats'!$N$8="Valide",VLOOKUP('Vote et Résultats'!$G8,Valeurs!$E$1:$F$6,2,FALSE),"")</f>
        <v>2</v>
      </c>
      <c r="G5" s="15">
        <f>IF('Vote et Résultats'!$N$9="Valide",VLOOKUP('Vote et Résultats'!$G9,Valeurs!$E$1:$F$6,2,FALSE),"")</f>
        <v>3</v>
      </c>
      <c r="H5" s="15">
        <f>IF('Vote et Résultats'!$N$10="Valide",VLOOKUP('Vote et Résultats'!$G10,Valeurs!$E$1:$F$6,2,FALSE),"")</f>
        <v>2</v>
      </c>
      <c r="I5" s="15">
        <f>IF('Vote et Résultats'!$N$11="Valide",VLOOKUP('Vote et Résultats'!$G11,Valeurs!$E$1:$F$6,2,FALSE),"")</f>
        <v>2</v>
      </c>
      <c r="J5" s="15">
        <f>IF('Vote et Résultats'!$N$12="Valide",VLOOKUP('Vote et Résultats'!$G12,Valeurs!$E$1:$F$6,2,FALSE),"")</f>
        <v>2</v>
      </c>
      <c r="K5" s="15">
        <f>IF('Vote et Résultats'!$N$13="Valide",VLOOKUP('Vote et Résultats'!$G13,Valeurs!$E$1:$F$6,2,FALSE),"")</f>
        <v>2</v>
      </c>
      <c r="L5" t="str">
        <f>IF(N5&gt;=6,"gagnante tour "&amp;M5,IF(OR(COUNTIF(N3:N7,"&gt;=6"),N5=MIN(N3:N7)),"éliminée tour "&amp;M5,""))</f>
        <v>éliminée tour 1</v>
      </c>
      <c r="M5">
        <v>1</v>
      </c>
      <c r="N5">
        <f t="shared" si="0"/>
        <v>0</v>
      </c>
      <c r="O5">
        <f>RANK(N5,N3:N7)</f>
        <v>4</v>
      </c>
    </row>
    <row r="6" spans="1:15" x14ac:dyDescent="0.25">
      <c r="A6" t="s">
        <v>2</v>
      </c>
      <c r="B6" s="15">
        <f>IF('Vote et Résultats'!$N$4="Valide",VLOOKUP('Vote et Résultats'!$I4,Valeurs!$E$1:$F$6,2,FALSE),"")</f>
        <v>6</v>
      </c>
      <c r="C6" s="15">
        <f>IF('Vote et Résultats'!$N$5="Valide",VLOOKUP('Vote et Résultats'!$I5,Valeurs!$E$1:$F$6,2,FALSE),"")</f>
        <v>6</v>
      </c>
      <c r="D6" s="15">
        <f>IF('Vote et Résultats'!$N$6="Valide",VLOOKUP('Vote et Résultats'!$I6,Valeurs!$E$1:$F$6,2,FALSE),"")</f>
        <v>4</v>
      </c>
      <c r="E6" s="15">
        <f>IF('Vote et Résultats'!$N$7="Valide",VLOOKUP('Vote et Résultats'!$I7,Valeurs!$E$1:$F$6,2,FALSE),"")</f>
        <v>5</v>
      </c>
      <c r="F6" s="15">
        <f>IF('Vote et Résultats'!$N$8="Valide",VLOOKUP('Vote et Résultats'!$I8,Valeurs!$E$1:$F$6,2,FALSE),"")</f>
        <v>4</v>
      </c>
      <c r="G6" s="15">
        <f>IF('Vote et Résultats'!$N$9="Valide",VLOOKUP('Vote et Résultats'!$I9,Valeurs!$E$1:$F$6,2,FALSE),"")</f>
        <v>5</v>
      </c>
      <c r="H6" s="15">
        <f>IF('Vote et Résultats'!$N$10="Valide",VLOOKUP('Vote et Résultats'!$I10,Valeurs!$E$1:$F$6,2,FALSE),"")</f>
        <v>1</v>
      </c>
      <c r="I6" s="15">
        <f>IF('Vote et Résultats'!$N$11="Valide",VLOOKUP('Vote et Résultats'!$I11,Valeurs!$E$1:$F$6,2,FALSE),"")</f>
        <v>3</v>
      </c>
      <c r="J6" s="15">
        <f>IF('Vote et Résultats'!$N$12="Valide",VLOOKUP('Vote et Résultats'!$I12,Valeurs!$E$1:$F$6,2,FALSE),"")</f>
        <v>3</v>
      </c>
      <c r="K6" s="15">
        <f>IF('Vote et Résultats'!$N$13="Valide",VLOOKUP('Vote et Résultats'!$I13,Valeurs!$E$1:$F$6,2,FALSE),"")</f>
        <v>3</v>
      </c>
      <c r="L6" t="str">
        <f>IF(N6&gt;=6,"gagnante tour "&amp;M6,IF(OR(COUNTIF(N3:N7,"&gt;=6"),N6=MIN(N3:N7)),"éliminée tour "&amp;M6,""))</f>
        <v>éliminée tour 1</v>
      </c>
      <c r="M6">
        <v>1</v>
      </c>
      <c r="N6">
        <f t="shared" si="0"/>
        <v>1</v>
      </c>
      <c r="O6">
        <f>RANK(N6,N3:N7)</f>
        <v>3</v>
      </c>
    </row>
    <row r="7" spans="1:15" x14ac:dyDescent="0.25">
      <c r="A7" t="s">
        <v>3</v>
      </c>
      <c r="B7" s="15">
        <f>IF('Vote et Résultats'!$N$4="Valide",VLOOKUP('Vote et Résultats'!$K4,Valeurs!$E$1:$F$6,2,FALSE),"")</f>
        <v>6</v>
      </c>
      <c r="C7" s="15">
        <f>IF('Vote et Résultats'!$N$5="Valide",VLOOKUP('Vote et Résultats'!$K5,Valeurs!$E$1:$F$6,2,FALSE),"")</f>
        <v>6</v>
      </c>
      <c r="D7" s="15">
        <f>IF('Vote et Résultats'!$N$6="Valide",VLOOKUP('Vote et Résultats'!$K6,Valeurs!$E$1:$F$6,2,FALSE),"")</f>
        <v>6</v>
      </c>
      <c r="E7" s="15">
        <f>IF('Vote et Résultats'!$N$7="Valide",VLOOKUP('Vote et Résultats'!$K7,Valeurs!$E$1:$F$6,2,FALSE),"")</f>
        <v>4</v>
      </c>
      <c r="F7" s="15">
        <f>IF('Vote et Résultats'!$N$8="Valide",VLOOKUP('Vote et Résultats'!$K8,Valeurs!$E$1:$F$6,2,FALSE),"")</f>
        <v>3</v>
      </c>
      <c r="G7" s="15">
        <f>IF('Vote et Résultats'!$N$9="Valide",VLOOKUP('Vote et Résultats'!$K9,Valeurs!$E$1:$F$6,2,FALSE),"")</f>
        <v>4</v>
      </c>
      <c r="H7" s="15">
        <f>IF('Vote et Résultats'!$N$10="Valide",VLOOKUP('Vote et Résultats'!$K10,Valeurs!$E$1:$F$6,2,FALSE),"")</f>
        <v>3</v>
      </c>
      <c r="I7" s="15">
        <f>IF('Vote et Résultats'!$N$11="Valide",VLOOKUP('Vote et Résultats'!$K11,Valeurs!$E$1:$F$6,2,FALSE),"")</f>
        <v>4</v>
      </c>
      <c r="J7" s="15">
        <f>IF('Vote et Résultats'!$N$12="Valide",VLOOKUP('Vote et Résultats'!$K12,Valeurs!$E$1:$F$6,2,FALSE),"")</f>
        <v>4</v>
      </c>
      <c r="K7" s="15">
        <f>IF('Vote et Résultats'!$N$13="Valide",VLOOKUP('Vote et Résultats'!$K13,Valeurs!$E$1:$F$6,2,FALSE),"")</f>
        <v>4</v>
      </c>
      <c r="L7" t="str">
        <f>IF(N7&gt;=6,"gagnante tour "&amp;M7,IF(OR(COUNTIF(N3:N7,"&gt;=6"),N7=MIN(N3:N7)),"éliminée tour "&amp;M7,""))</f>
        <v>éliminée tour 1</v>
      </c>
      <c r="M7">
        <v>1</v>
      </c>
      <c r="N7">
        <f t="shared" si="0"/>
        <v>0</v>
      </c>
      <c r="O7">
        <f>RANK(N7,N3:N7)</f>
        <v>4</v>
      </c>
    </row>
    <row r="9" spans="1:15" x14ac:dyDescent="0.25">
      <c r="A9" s="120" t="s">
        <v>64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1:15" x14ac:dyDescent="0.25">
      <c r="B10" t="str">
        <f>IF(COUNTIF(L3:L7,"gagnante*"),"","votant·e 1")</f>
        <v/>
      </c>
      <c r="C10" t="str">
        <f>IF(COUNTIF(L3:L7,"gagnante*"),"","votant·e 2")</f>
        <v/>
      </c>
      <c r="D10" t="str">
        <f>IF(COUNTIF(L3:L7,"gagnante*"),"","votant·e 3")</f>
        <v/>
      </c>
      <c r="E10" t="str">
        <f>IF(COUNTIF(L3:L7,"gagnante*"),"","votant·e 4")</f>
        <v/>
      </c>
      <c r="F10" t="str">
        <f>IF(COUNTIF(L3:L7,"gagnante*"),"","votant·e 5")</f>
        <v/>
      </c>
      <c r="G10" t="str">
        <f>IF(COUNTIF(L3:L7,"gagnante*"),"","votant·e 6")</f>
        <v/>
      </c>
      <c r="H10" t="str">
        <f>IF(COUNTIF(L3:L7,"gagnante*"),"","votant·e 7")</f>
        <v/>
      </c>
      <c r="I10" t="str">
        <f>IF(COUNTIF(L3:L7,"gagnante*"),"","votant·e 8")</f>
        <v/>
      </c>
      <c r="J10" t="str">
        <f>IF(COUNTIF(L3:L7,"gagnante*"),"","votant·e 9")</f>
        <v/>
      </c>
      <c r="K10" t="str">
        <f>IF(COUNTIF(L3:L7,"gagnante*"),"","votant·e 10")</f>
        <v/>
      </c>
      <c r="L10" t="s">
        <v>63</v>
      </c>
      <c r="M10" t="s">
        <v>77</v>
      </c>
      <c r="N10" t="s">
        <v>78</v>
      </c>
      <c r="O10" t="s">
        <v>76</v>
      </c>
    </row>
    <row r="11" spans="1:15" x14ac:dyDescent="0.25">
      <c r="A11" t="s">
        <v>34</v>
      </c>
      <c r="B11" s="15" t="str">
        <f>IF('Vote et Résultats'!$N$4="Valide",IF(COUNTIF($L3:$L7,"gagnante*"),"",IF(COUNTIF($L3,"éliminée*"),"",B3-(IF(AND(COUNTIF($L4,"éliminée*"),B3&gt;B$4),1,0)+IF(AND(COUNTIF($L5,"éliminée*"),B3&gt;B$5),1,0)+IF(AND(COUNTIF($L6,"éliminée*"),B3&gt;B$6),1,0)+IF(AND(COUNTIF($L7,"éliminée*"),B3&gt;B$7),1,0)))),"")</f>
        <v/>
      </c>
      <c r="C11" s="15" t="str">
        <f>IF('Vote et Résultats'!$N$5="Valide",IF(COUNTIF($L3:$L7,"gagnante*"),"",IF(COUNTIF($L3,"éliminée*"),"",C3-(IF(AND(COUNTIF($L4,"éliminée*"),C3&gt;C$4),1,0)+IF(AND(COUNTIF($L5,"éliminée*"),C3&gt;C$5),1,0)+IF(AND(COUNTIF($L6,"éliminée*"),C3&gt;C$6),1,0)+IF(AND(COUNTIF($L7,"éliminée*"),C3&gt;C$7),1,0)))),"")</f>
        <v/>
      </c>
      <c r="D11" s="15" t="str">
        <f>IF('Vote et Résultats'!$N$6="Valide",IF(COUNTIF($L3:$L7,"gagnante*"),"",IF(COUNTIF($L3,"éliminée*"),"",D3-(IF(AND(COUNTIF($L4,"éliminée*"),D3&gt;D$4),1,0)+IF(AND(COUNTIF($L5,"éliminée*"),D3&gt;D$5),1,0)+IF(AND(COUNTIF($L6,"éliminée*"),D3&gt;D$6),1,0)+IF(AND(COUNTIF($L7,"éliminée*"),D3&gt;D$7),1,0)))),"")</f>
        <v/>
      </c>
      <c r="E11" s="15" t="str">
        <f>IF('Vote et Résultats'!$N$7="Valide",IF(COUNTIF($L3:$L7,"gagnante*"),"",IF(COUNTIF($L3,"éliminée*"),"",E3-(IF(AND(COUNTIF($L4,"éliminée*"),E3&gt;E$4),1,0)+IF(AND(COUNTIF($L5,"éliminée*"),E3&gt;E$5),1,0)+IF(AND(COUNTIF($L6,"éliminée*"),E3&gt;E$6),1,0)+IF(AND(COUNTIF($L7,"éliminée*"),E3&gt;E$7),1,0)))),"")</f>
        <v/>
      </c>
      <c r="F11" s="15" t="str">
        <f>IF('Vote et Résultats'!$N$8="Valide",IF(COUNTIF($L3:$L7,"gagnante*"),"",IF(COUNTIF($L3,"éliminée*"),"",F3-(IF(AND(COUNTIF($L4,"éliminée*"),F3&gt;F$4),1,0)+IF(AND(COUNTIF($L5,"éliminée*"),F3&gt;F$5),1,0)+IF(AND(COUNTIF($L6,"éliminée*"),F3&gt;F$6),1,0)+IF(AND(COUNTIF($L7,"éliminée*"),F3&gt;F$7),1,0)))),"")</f>
        <v/>
      </c>
      <c r="G11" s="15" t="str">
        <f>IF('Vote et Résultats'!$N$9="Valide",IF(COUNTIF($L3:$L7,"gagnante*"),"",IF(COUNTIF($L3,"éliminée*"),"",G3-(IF(AND(COUNTIF($L4,"éliminée*"),G3&gt;G$4),1,0)+IF(AND(COUNTIF($L5,"éliminée*"),G3&gt;G$5),1,0)+IF(AND(COUNTIF($L6,"éliminée*"),G3&gt;G$6),1,0)+IF(AND(COUNTIF($L7,"éliminée*"),G3&gt;G$7),1,0)))),"")</f>
        <v/>
      </c>
      <c r="H11" s="15" t="str">
        <f>IF('Vote et Résultats'!$N$10="Valide",IF(COUNTIF($L3:$L7,"gagnante*"),"",IF(COUNTIF($L3,"éliminée*"),"",H3-(IF(AND(COUNTIF($L4,"éliminée*"),H3&gt;H$4),1,0)+IF(AND(COUNTIF($L5,"éliminée*"),H3&gt;H$5),1,0)+IF(AND(COUNTIF($L6,"éliminée*"),H3&gt;H$6),1,0)+IF(AND(COUNTIF($L7,"éliminée*"),H3&gt;H$7),1,0)))),"")</f>
        <v/>
      </c>
      <c r="I11" s="15" t="str">
        <f>IF('Vote et Résultats'!$N$11="Valide",IF(COUNTIF($L3:$L7,"gagnante*"),"",IF(COUNTIF($L3,"éliminée*"),"",I3-(IF(AND(COUNTIF($L4,"éliminée*"),I3&gt;I$4),1,0)+IF(AND(COUNTIF($L5,"éliminée*"),I3&gt;I$5),1,0)+IF(AND(COUNTIF($L6,"éliminée*"),I3&gt;I$6),1,0)+IF(AND(COUNTIF($L7,"éliminée*"),I3&gt;I$7),1,0)))),"")</f>
        <v/>
      </c>
      <c r="J11" s="15" t="str">
        <f>IF('Vote et Résultats'!$N$12="Valide",IF(COUNTIF($L3:$L7,"gagnante*"),"",IF(COUNTIF($L3,"éliminée*"),"",J3-(IF(AND(COUNTIF($L4,"éliminée*"),J3&gt;J$4),1,0)+IF(AND(COUNTIF($L5,"éliminée*"),J3&gt;J$5),1,0)+IF(AND(COUNTIF($L6,"éliminée*"),J3&gt;J$6),1,0)+IF(AND(COUNTIF($L7,"éliminée*"),J3&gt;J$7),1,0)))),"")</f>
        <v/>
      </c>
      <c r="K11" s="15" t="str">
        <f>IF('Vote et Résultats'!$N$13="Valide",IF(COUNTIF($L3:$L7,"gagnante*"),"",IF(COUNTIF($L3,"éliminée*"),"",K3-(IF(AND(COUNTIF($L4,"éliminée*"),K3&gt;K$4),1,0)+IF(AND(COUNTIF($L5,"éliminée*"),K3&gt;K$5),1,0)+IF(AND(COUNTIF($L6,"éliminée*"),K3&gt;K$6),1,0)+IF(AND(COUNTIF($L7,"éliminée*"),K3&gt;K$7),1,0)))),"")</f>
        <v/>
      </c>
      <c r="L11" t="str">
        <f>IF(L3&lt;&gt;"",L3,IF(N11&gt;=6,"gagnante tour "&amp;M11,IF(OR(COUNTIF(N11:N15,"&gt;=6"),N11=MIN(N11:N15)),"éliminée tour "&amp;M11,"")))</f>
        <v>gagnante tour 1</v>
      </c>
      <c r="M11">
        <v>2</v>
      </c>
      <c r="N11" t="str">
        <f>IF(L3&lt;&gt;"","",COUNTIF(B11:K11,1))</f>
        <v/>
      </c>
      <c r="O11">
        <f>IF(N11="",O3,RANK(N11,N11:N15))</f>
        <v>1</v>
      </c>
    </row>
    <row r="12" spans="1:15" x14ac:dyDescent="0.25">
      <c r="A12" t="s">
        <v>0</v>
      </c>
      <c r="B12" s="15" t="str">
        <f>IF('Vote et Résultats'!$N$4="Valide",IF(COUNTIF($L3:$L7,"gagnante*"),"",IF(COUNTIF($L4,"éliminée*"),"",B4-(IF(AND(COUNTIF($L3,"éliminée*"),B4&gt;B$3),1,0)+IF(AND(COUNTIF($L5,"éliminée*"),B4&gt;B$5),1,0)+IF(AND(COUNTIF($L6,"éliminée*"),B4&gt;B$6),1,0)+IF(AND(COUNTIF($L7,"éliminée*"),B4&gt;B$7),1,0)))),"")</f>
        <v/>
      </c>
      <c r="C12" s="15" t="str">
        <f>IF('Vote et Résultats'!$N$5="Valide",IF(COUNTIF($L3:$L7,"gagnante*"),"",IF(COUNTIF($L4,"éliminée*"),"",C4-(IF(AND(COUNTIF($L3,"éliminée*"),C4&gt;C$3),1,0)+IF(AND(COUNTIF($L5,"éliminée*"),C4&gt;C$5),1,0)+IF(AND(COUNTIF($L6,"éliminée*"),C4&gt;C$6),1,0)+IF(AND(COUNTIF($L7,"éliminée*"),C4&gt;C$7),1,0)))),"")</f>
        <v/>
      </c>
      <c r="D12" s="15" t="str">
        <f>IF('Vote et Résultats'!$N$6="Valide",IF(COUNTIF($L3:$L7,"gagnante*"),"",IF(COUNTIF($L4,"éliminée*"),"",D4-(IF(AND(COUNTIF($L3,"éliminée*"),D4&gt;D$3),1,0)+IF(AND(COUNTIF($L5,"éliminée*"),D4&gt;D$5),1,0)+IF(AND(COUNTIF($L6,"éliminée*"),D4&gt;D$6),1,0)+IF(AND(COUNTIF($L7,"éliminée*"),D4&gt;D$7),1,0)))),"")</f>
        <v/>
      </c>
      <c r="E12" s="15" t="str">
        <f>IF('Vote et Résultats'!$N$7="Valide",IF(COUNTIF($L3:$L7,"gagnante*"),"",IF(COUNTIF($L4,"éliminée*"),"",E4-(IF(AND(COUNTIF($L3,"éliminée*"),E4&gt;E$3),1,0)+IF(AND(COUNTIF($L5,"éliminée*"),E4&gt;E$5),1,0)+IF(AND(COUNTIF($L6,"éliminée*"),E4&gt;E$6),1,0)+IF(AND(COUNTIF($L7,"éliminée*"),E4&gt;E$7),1,0)))),"")</f>
        <v/>
      </c>
      <c r="F12" s="15" t="str">
        <f>IF('Vote et Résultats'!$N$8="Valide",IF(COUNTIF($L3:$L7,"gagnante*"),"",IF(COUNTIF($L4,"éliminée*"),"",F4-(IF(AND(COUNTIF($L3,"éliminée*"),F4&gt;F$3),1,0)+IF(AND(COUNTIF($L5,"éliminée*"),F4&gt;F$5),1,0)+IF(AND(COUNTIF($L6,"éliminée*"),F4&gt;F$6),1,0)+IF(AND(COUNTIF($L7,"éliminée*"),F4&gt;F$7),1,0)))),"")</f>
        <v/>
      </c>
      <c r="G12" s="15" t="str">
        <f>IF('Vote et Résultats'!$N$9="Valide",IF(COUNTIF($L3:$L7,"gagnante*"),"",IF(COUNTIF($L4,"éliminée*"),"",G4-(IF(AND(COUNTIF($L3,"éliminée*"),G4&gt;G$3),1,0)+IF(AND(COUNTIF($L5,"éliminée*"),G4&gt;G$5),1,0)+IF(AND(COUNTIF($L6,"éliminée*"),G4&gt;G$6),1,0)+IF(AND(COUNTIF($L7,"éliminée*"),G4&gt;G$7),1,0)))),"")</f>
        <v/>
      </c>
      <c r="H12" s="15" t="str">
        <f>IF('Vote et Résultats'!$N$10="Valide",IF(COUNTIF($L3:$L7,"gagnante*"),"",IF(COUNTIF($L4,"éliminée*"),"",H4-(IF(AND(COUNTIF($L3,"éliminée*"),H4&gt;H$3),1,0)+IF(AND(COUNTIF($L5,"éliminée*"),H4&gt;H$5),1,0)+IF(AND(COUNTIF($L6,"éliminée*"),H4&gt;H$6),1,0)+IF(AND(COUNTIF($L7,"éliminée*"),H4&gt;H$7),1,0)))),"")</f>
        <v/>
      </c>
      <c r="I12" s="15" t="str">
        <f>IF('Vote et Résultats'!$N$11="Valide",IF(COUNTIF($L3:$L7,"gagnante*"),"",IF(COUNTIF($L4,"éliminée*"),"",I4-(IF(AND(COUNTIF($L3,"éliminée*"),I4&gt;I$3),1,0)+IF(AND(COUNTIF($L5,"éliminée*"),I4&gt;I$5),1,0)+IF(AND(COUNTIF($L6,"éliminée*"),I4&gt;I$6),1,0)+IF(AND(COUNTIF($L7,"éliminée*"),I4&gt;I$7),1,0)))),"")</f>
        <v/>
      </c>
      <c r="J12" s="15" t="str">
        <f>IF('Vote et Résultats'!$N$12="Valide",IF(COUNTIF($L3:$L7,"gagnante*"),"",IF(COUNTIF($L4,"éliminée*"),"",J4-(IF(AND(COUNTIF($L3,"éliminée*"),J4&gt;J$3),1,0)+IF(AND(COUNTIF($L5,"éliminée*"),J4&gt;J$5),1,0)+IF(AND(COUNTIF($L6,"éliminée*"),J4&gt;J$6),1,0)+IF(AND(COUNTIF($L7,"éliminée*"),J4&gt;J$7),1,0)))),"")</f>
        <v/>
      </c>
      <c r="K12" s="15" t="str">
        <f>IF('Vote et Résultats'!$N$13="Valide",IF(COUNTIF($L3:$L7,"gagnante*"),"",IF(COUNTIF($L4,"éliminée*"),"",K4-(IF(AND(COUNTIF($L3,"éliminée*"),K4&gt;K$3),1,0)+IF(AND(COUNTIF($L5,"éliminée*"),K4&gt;K$5),1,0)+IF(AND(COUNTIF($L6,"éliminée*"),K4&gt;K$6),1,0)+IF(AND(COUNTIF($L7,"éliminée*"),K4&gt;K$7),1,0)))),"")</f>
        <v/>
      </c>
      <c r="L12" t="str">
        <f>IF(L4&lt;&gt;"",L4,IF(N12&gt;=6,"gagnante tour "&amp;M12,IF(OR(COUNTIF(N11:N15,"&gt;=6"),N12=MIN(N11:N15)),"éliminée tour "&amp;M12,"")))</f>
        <v>éliminée tour 1</v>
      </c>
      <c r="M12">
        <v>2</v>
      </c>
      <c r="N12" t="str">
        <f t="shared" ref="N12:N15" si="1">IF(L4&lt;&gt;"","",COUNTIF(B12:K12,1))</f>
        <v/>
      </c>
      <c r="O12">
        <f>IF(N12="",O4,RANK(N12,N11:N15))</f>
        <v>2</v>
      </c>
    </row>
    <row r="13" spans="1:15" x14ac:dyDescent="0.25">
      <c r="A13" t="s">
        <v>1</v>
      </c>
      <c r="B13" s="15" t="str">
        <f>IF('Vote et Résultats'!$N$4="Valide",IF(COUNTIF($L3:$L7,"gagnante*"),"",IF(COUNTIF($L5,"éliminée*"),"",B5-(IF(AND(COUNTIF($L3,"éliminée*"),B5&gt;B$3),1,0)+IF(AND(COUNTIF($L4,"éliminée*"),B5&gt;B$4),1,0)+IF(AND(COUNTIF($L6,"éliminée*"),B5&gt;B$6),1,0)+IF(AND(COUNTIF($L7,"éliminée*"),B5&gt;B$7),1,0)))),"")</f>
        <v/>
      </c>
      <c r="C13" s="15" t="str">
        <f>IF('Vote et Résultats'!$N$5="Valide",IF(COUNTIF($L3:$L7,"gagnante*"),"",IF(COUNTIF($L5,"éliminée*"),"",C5-(IF(AND(COUNTIF($L3,"éliminée*"),C5&gt;C$3),1,0)+IF(AND(COUNTIF($L4,"éliminée*"),C5&gt;C$4),1,0)+IF(AND(COUNTIF($L6,"éliminée*"),C5&gt;C$6),1,0)+IF(AND(COUNTIF($L7,"éliminée*"),C5&gt;C$7),1,0)))),"")</f>
        <v/>
      </c>
      <c r="D13" s="15" t="str">
        <f>IF('Vote et Résultats'!$N$6="Valide",IF(COUNTIF($L3:$L7,"gagnante*"),"",IF(COUNTIF($L5,"éliminée*"),"",D5-(IF(AND(COUNTIF($L3,"éliminée*"),D5&gt;D$3),1,0)+IF(AND(COUNTIF($L4,"éliminée*"),D5&gt;D$4),1,0)+IF(AND(COUNTIF($L6,"éliminée*"),D5&gt;D$6),1,0)+IF(AND(COUNTIF($L7,"éliminée*"),D5&gt;D$7),1,0)))),"")</f>
        <v/>
      </c>
      <c r="E13" s="15" t="str">
        <f>IF('Vote et Résultats'!$N$7="Valide",IF(COUNTIF($L3:$L7,"gagnante*"),"",IF(COUNTIF($L5,"éliminée*"),"",E5-(IF(AND(COUNTIF($L3,"éliminée*"),E5&gt;E$3),1,0)+IF(AND(COUNTIF($L4,"éliminée*"),E5&gt;E$4),1,0)+IF(AND(COUNTIF($L6,"éliminée*"),E5&gt;E$6),1,0)+IF(AND(COUNTIF($L7,"éliminée*"),E5&gt;E$7),1,0)))),"")</f>
        <v/>
      </c>
      <c r="F13" s="15" t="str">
        <f>IF('Vote et Résultats'!$N$8="Valide",IF(COUNTIF($L3:$L7,"gagnante*"),"",IF(COUNTIF($L5,"éliminée*"),"",F5-(IF(AND(COUNTIF($L3,"éliminée*"),F5&gt;F$3),1,0)+IF(AND(COUNTIF($L4,"éliminée*"),F5&gt;F$4),1,0)+IF(AND(COUNTIF($L6,"éliminée*"),F5&gt;F$6),1,0)+IF(AND(COUNTIF($L7,"éliminée*"),F5&gt;F$7),1,0)))),"")</f>
        <v/>
      </c>
      <c r="G13" s="15" t="str">
        <f>IF('Vote et Résultats'!$N$9="Valide",IF(COUNTIF($L3:$L7,"gagnante*"),"",IF(COUNTIF($L5,"éliminée*"),"",G5-(IF(AND(COUNTIF($L3,"éliminée*"),G5&gt;G$3),1,0)+IF(AND(COUNTIF($L4,"éliminée*"),G5&gt;G$4),1,0)+IF(AND(COUNTIF($L6,"éliminée*"),G5&gt;G$6),1,0)+IF(AND(COUNTIF($L7,"éliminée*"),G5&gt;G$7),1,0)))),"")</f>
        <v/>
      </c>
      <c r="H13" s="15" t="str">
        <f>IF('Vote et Résultats'!$N$10="Valide",IF(COUNTIF($L3:$L7,"gagnante*"),"",IF(COUNTIF($L5,"éliminée*"),"",H5-(IF(AND(COUNTIF($L3,"éliminée*"),H5&gt;H$3),1,0)+IF(AND(COUNTIF($L4,"éliminée*"),H5&gt;H$4),1,0)+IF(AND(COUNTIF($L6,"éliminée*"),H5&gt;H$6),1,0)+IF(AND(COUNTIF($L7,"éliminée*"),H5&gt;H$7),1,0)))),"")</f>
        <v/>
      </c>
      <c r="I13" s="15" t="str">
        <f>IF('Vote et Résultats'!$N$11="Valide",IF(COUNTIF($L3:$L7,"gagnante*"),"",IF(COUNTIF($L5,"éliminée*"),"",I5-(IF(AND(COUNTIF($L3,"éliminée*"),I5&gt;I$3),1,0)+IF(AND(COUNTIF($L4,"éliminée*"),I5&gt;I$4),1,0)+IF(AND(COUNTIF($L6,"éliminée*"),I5&gt;I$6),1,0)+IF(AND(COUNTIF($L7,"éliminée*"),I5&gt;I$7),1,0)))),"")</f>
        <v/>
      </c>
      <c r="J13" s="15" t="str">
        <f>IF('Vote et Résultats'!$N$12="Valide",IF(COUNTIF($L3:$L7,"gagnante*"),"",IF(COUNTIF($L5,"éliminée*"),"",J5-(IF(AND(COUNTIF($L3,"éliminée*"),J5&gt;J$3),1,0)+IF(AND(COUNTIF($L4,"éliminée*"),J5&gt;J$4),1,0)+IF(AND(COUNTIF($L6,"éliminée*"),J5&gt;J$6),1,0)+IF(AND(COUNTIF($L7,"éliminée*"),J5&gt;J$7),1,0)))),"")</f>
        <v/>
      </c>
      <c r="K13" s="15" t="str">
        <f>IF('Vote et Résultats'!$N$13="Valide",IF(COUNTIF($L3:$L7,"gagnante*"),"",IF(COUNTIF($L5,"éliminée*"),"",K5-(IF(AND(COUNTIF($L3,"éliminée*"),K5&gt;K$3),1,0)+IF(AND(COUNTIF($L4,"éliminée*"),K5&gt;K$4),1,0)+IF(AND(COUNTIF($L6,"éliminée*"),K5&gt;K$6),1,0)+IF(AND(COUNTIF($L7,"éliminée*"),K5&gt;K$7),1,0)))),"")</f>
        <v/>
      </c>
      <c r="L13" t="str">
        <f>IF(L5&lt;&gt;"",L5,IF(N13&gt;=6,"gagnante tour "&amp;M13,IF(OR(COUNTIF(N11:N15,"&gt;=6"),N13=MIN(N11:N15)),"éliminée tour "&amp;M13,"")))</f>
        <v>éliminée tour 1</v>
      </c>
      <c r="M13">
        <v>2</v>
      </c>
      <c r="N13" t="str">
        <f t="shared" si="1"/>
        <v/>
      </c>
      <c r="O13">
        <f>IF(N13="",O5,RANK(N13,N11:N15))</f>
        <v>4</v>
      </c>
    </row>
    <row r="14" spans="1:15" x14ac:dyDescent="0.25">
      <c r="A14" t="s">
        <v>2</v>
      </c>
      <c r="B14" s="15" t="str">
        <f>IF('Vote et Résultats'!$N$4="Valide",IF(COUNTIF($L3:$L7,"gagnante*"),"",IF(COUNTIF($L6,"éliminée*"),"",B6-(IF(AND(COUNTIF($L3,"éliminée*"),B6&gt;B$3),1,0)+IF(AND(COUNTIF($L4,"éliminée*"),B6&gt;B$4),1,0)+IF(AND(COUNTIF($L5,"éliminée*"),B6&gt;B$5),1,0)+IF(AND(COUNTIF($L7,"éliminée*"),B6&gt;B$7),1,0)))),"")</f>
        <v/>
      </c>
      <c r="C14" s="15" t="str">
        <f>IF('Vote et Résultats'!$N$5="Valide",IF(COUNTIF($L3:$L7,"gagnante*"),"",IF(COUNTIF($L6,"éliminée*"),"",C6-(IF(AND(COUNTIF($L3,"éliminée*"),C6&gt;C$3),1,0)+IF(AND(COUNTIF($L4,"éliminée*"),C6&gt;C$4),1,0)+IF(AND(COUNTIF($L5,"éliminée*"),C6&gt;C$5),1,0)+IF(AND(COUNTIF($L7,"éliminée*"),C6&gt;C$7),1,0)))),"")</f>
        <v/>
      </c>
      <c r="D14" s="15" t="str">
        <f>IF('Vote et Résultats'!$N$6="Valide",IF(COUNTIF($L3:$L7,"gagnante*"),"",IF(COUNTIF($L6,"éliminée*"),"",D6-(IF(AND(COUNTIF($L3,"éliminée*"),D6&gt;D$3),1,0)+IF(AND(COUNTIF($L4,"éliminée*"),D6&gt;D$4),1,0)+IF(AND(COUNTIF($L5,"éliminée*"),D6&gt;D$5),1,0)+IF(AND(COUNTIF($L7,"éliminée*"),D6&gt;D$7),1,0)))),"")</f>
        <v/>
      </c>
      <c r="E14" s="15" t="str">
        <f>IF('Vote et Résultats'!$N$7="Valide",IF(COUNTIF($L3:$L7,"gagnante*"),"",IF(COUNTIF($L6,"éliminée*"),"",E6-(IF(AND(COUNTIF($L3,"éliminée*"),E6&gt;E$3),1,0)+IF(AND(COUNTIF($L4,"éliminée*"),E6&gt;E$4),1,0)+IF(AND(COUNTIF($L5,"éliminée*"),E6&gt;E$5),1,0)+IF(AND(COUNTIF($L7,"éliminée*"),E6&gt;E$7),1,0)))),"")</f>
        <v/>
      </c>
      <c r="F14" s="15" t="str">
        <f>IF('Vote et Résultats'!$N$8="Valide",IF(COUNTIF($L3:$L7,"gagnante*"),"",IF(COUNTIF($L6,"éliminée*"),"",F6-(IF(AND(COUNTIF($L3,"éliminée*"),F6&gt;F$3),1,0)+IF(AND(COUNTIF($L4,"éliminée*"),F6&gt;F$4),1,0)+IF(AND(COUNTIF($L5,"éliminée*"),F6&gt;F$5),1,0)+IF(AND(COUNTIF($L7,"éliminée*"),F6&gt;F$7),1,0)))),"")</f>
        <v/>
      </c>
      <c r="G14" s="15" t="str">
        <f>IF('Vote et Résultats'!$N$9="Valide",IF(COUNTIF($L3:$L7,"gagnante*"),"",IF(COUNTIF($L6,"éliminée*"),"",G6-(IF(AND(COUNTIF($L3,"éliminée*"),G6&gt;G$3),1,0)+IF(AND(COUNTIF($L4,"éliminée*"),G6&gt;G$4),1,0)+IF(AND(COUNTIF($L5,"éliminée*"),G6&gt;G$5),1,0)+IF(AND(COUNTIF($L7,"éliminée*"),G6&gt;G$7),1,0)))),"")</f>
        <v/>
      </c>
      <c r="H14" s="15" t="str">
        <f>IF('Vote et Résultats'!$N$10="Valide",IF(COUNTIF($L3:$L7,"gagnante*"),"",IF(COUNTIF($L6,"éliminée*"),"",H6-(IF(AND(COUNTIF($L3,"éliminée*"),H6&gt;H$3),1,0)+IF(AND(COUNTIF($L4,"éliminée*"),H6&gt;H$4),1,0)+IF(AND(COUNTIF($L5,"éliminée*"),H6&gt;H$5),1,0)+IF(AND(COUNTIF($L7,"éliminée*"),H6&gt;H$7),1,0)))),"")</f>
        <v/>
      </c>
      <c r="I14" s="15" t="str">
        <f>IF('Vote et Résultats'!$N$11="Valide",IF(COUNTIF($L3:$L7,"gagnante*"),"",IF(COUNTIF($L6,"éliminée*"),"",I6-(IF(AND(COUNTIF($L3,"éliminée*"),I6&gt;I$3),1,0)+IF(AND(COUNTIF($L4,"éliminée*"),I6&gt;I$4),1,0)+IF(AND(COUNTIF($L5,"éliminée*"),I6&gt;I$5),1,0)+IF(AND(COUNTIF($L7,"éliminée*"),I6&gt;I$7),1,0)))),"")</f>
        <v/>
      </c>
      <c r="J14" s="15" t="str">
        <f>IF('Vote et Résultats'!$N$12="Valide",IF(COUNTIF($L3:$L7,"gagnante*"),"",IF(COUNTIF($L6,"éliminée*"),"",J6-(IF(AND(COUNTIF($L3,"éliminée*"),J6&gt;J$3),1,0)+IF(AND(COUNTIF($L4,"éliminée*"),J6&gt;J$4),1,0)+IF(AND(COUNTIF($L5,"éliminée*"),J6&gt;J$5),1,0)+IF(AND(COUNTIF($L7,"éliminée*"),J6&gt;J$7),1,0)))),"")</f>
        <v/>
      </c>
      <c r="K14" s="15" t="str">
        <f>IF('Vote et Résultats'!$N$13="Valide",IF(COUNTIF($L3:$L7,"gagnante*"),"",IF(COUNTIF($L6,"éliminée*"),"",K6-(IF(AND(COUNTIF($L3,"éliminée*"),K6&gt;K$3),1,0)+IF(AND(COUNTIF($L4,"éliminée*"),K6&gt;K$4),1,0)+IF(AND(COUNTIF($L5,"éliminée*"),K6&gt;K$5),1,0)+IF(AND(COUNTIF($L7,"éliminée*"),K6&gt;K$7),1,0)))),"")</f>
        <v/>
      </c>
      <c r="L14" t="str">
        <f>IF(L6&lt;&gt;"",L6,IF(N14&gt;=6,"gagnante tour "&amp;M14,IF(OR(COUNTIF(N11:N15,"&gt;=6"),N14=MIN(N11:N15)),"éliminée tour "&amp;M14,"")))</f>
        <v>éliminée tour 1</v>
      </c>
      <c r="M14">
        <v>2</v>
      </c>
      <c r="N14" t="str">
        <f t="shared" si="1"/>
        <v/>
      </c>
      <c r="O14">
        <f>IF(N14="",O6,RANK(N14,N11:N15))</f>
        <v>3</v>
      </c>
    </row>
    <row r="15" spans="1:15" x14ac:dyDescent="0.25">
      <c r="A15" t="s">
        <v>3</v>
      </c>
      <c r="B15" s="15" t="str">
        <f>IF('Vote et Résultats'!$N$4="Valide",IF(COUNTIF($L3:$L7,"gagnante*"),"",IF(COUNTIF($L7,"éliminée*"),"",B7-(IF(AND(COUNTIF($L3,"éliminée*"),B7&gt;B$3),1,0)+IF(AND(COUNTIF($L4,"éliminée*"),B7&gt;B$4),1,0)+IF(AND(COUNTIF($L5,"éliminée*"),B7&gt;B$5),1,0)+IF(AND(COUNTIF($L6,"éliminée*"),B7&gt;B$6),1,0)))),"")</f>
        <v/>
      </c>
      <c r="C15" s="15" t="str">
        <f>IF('Vote et Résultats'!$N$5="Valide",IF(COUNTIF($L3:$L7,"gagnante*"),"",IF(COUNTIF($L7,"éliminée*"),"",C7-(IF(AND(COUNTIF($L3,"éliminée*"),C7&gt;C$3),1,0)+IF(AND(COUNTIF($L4,"éliminée*"),C7&gt;C$4),1,0)+IF(AND(COUNTIF($L5,"éliminée*"),C7&gt;C$5),1,0)+IF(AND(COUNTIF($L6,"éliminée*"),C7&gt;C$6),1,0)))),"")</f>
        <v/>
      </c>
      <c r="D15" s="15" t="str">
        <f>IF('Vote et Résultats'!$N$6="Valide",IF(COUNTIF($L3:$L7,"gagnante*"),"",IF(COUNTIF($L7,"éliminée*"),"",D7-(IF(AND(COUNTIF($L3,"éliminée*"),D7&gt;D$3),1,0)+IF(AND(COUNTIF($L4,"éliminée*"),D7&gt;D$4),1,0)+IF(AND(COUNTIF($L5,"éliminée*"),D7&gt;D$5),1,0)+IF(AND(COUNTIF($L6,"éliminée*"),D7&gt;D$6),1,0)))),"")</f>
        <v/>
      </c>
      <c r="E15" s="15" t="str">
        <f>IF('Vote et Résultats'!$N$7="Valide",IF(COUNTIF($L3:$L7,"gagnante*"),"",IF(COUNTIF($L7,"éliminée*"),"",E7-(IF(AND(COUNTIF($L3,"éliminée*"),E7&gt;E$3),1,0)+IF(AND(COUNTIF($L4,"éliminée*"),E7&gt;E$4),1,0)+IF(AND(COUNTIF($L5,"éliminée*"),E7&gt;E$5),1,0)+IF(AND(COUNTIF($L6,"éliminée*"),E7&gt;E$6),1,0)))),"")</f>
        <v/>
      </c>
      <c r="F15" s="15" t="str">
        <f>IF('Vote et Résultats'!$N$8="Valide",IF(COUNTIF($L3:$L7,"gagnante*"),"",IF(COUNTIF($L7,"éliminée*"),"",F7-(IF(AND(COUNTIF($L3,"éliminée*"),F7&gt;F$3),1,0)+IF(AND(COUNTIF($L4,"éliminée*"),F7&gt;F$4),1,0)+IF(AND(COUNTIF($L5,"éliminée*"),F7&gt;F$5),1,0)+IF(AND(COUNTIF($L6,"éliminée*"),F7&gt;F$6),1,0)))),"")</f>
        <v/>
      </c>
      <c r="G15" s="15" t="str">
        <f>IF('Vote et Résultats'!$N$9="Valide",IF(COUNTIF($L3:$L7,"gagnante*"),"",IF(COUNTIF($L7,"éliminée*"),"",G7-(IF(AND(COUNTIF($L3,"éliminée*"),G7&gt;G$3),1,0)+IF(AND(COUNTIF($L4,"éliminée*"),G7&gt;G$4),1,0)+IF(AND(COUNTIF($L5,"éliminée*"),G7&gt;G$5),1,0)+IF(AND(COUNTIF($L6,"éliminée*"),G7&gt;G$6),1,0)))),"")</f>
        <v/>
      </c>
      <c r="H15" s="15" t="str">
        <f>IF('Vote et Résultats'!$N$10="Valide",IF(COUNTIF($L3:$L7,"gagnante*"),"",IF(COUNTIF($L7,"éliminée*"),"",H7-(IF(AND(COUNTIF($L3,"éliminée*"),H7&gt;H$3),1,0)+IF(AND(COUNTIF($L4,"éliminée*"),H7&gt;H$4),1,0)+IF(AND(COUNTIF($L5,"éliminée*"),H7&gt;H$5),1,0)+IF(AND(COUNTIF($L6,"éliminée*"),H7&gt;H$6),1,0)))),"")</f>
        <v/>
      </c>
      <c r="I15" s="15" t="str">
        <f>IF('Vote et Résultats'!$N$11="Valide",IF(COUNTIF($L3:$L7,"gagnante*"),"",IF(COUNTIF($L7,"éliminée*"),"",I7-(IF(AND(COUNTIF($L3,"éliminée*"),I7&gt;I$3),1,0)+IF(AND(COUNTIF($L4,"éliminée*"),I7&gt;I$4),1,0)+IF(AND(COUNTIF($L5,"éliminée*"),I7&gt;I$5),1,0)+IF(AND(COUNTIF($L6,"éliminée*"),I7&gt;I$6),1,0)))),"")</f>
        <v/>
      </c>
      <c r="J15" s="15" t="str">
        <f>IF('Vote et Résultats'!$N$12="Valide",IF(COUNTIF($L3:$L7,"gagnante*"),"",IF(COUNTIF($L7,"éliminée*"),"",J7-(IF(AND(COUNTIF($L3,"éliminée*"),J7&gt;J$3),1,0)+IF(AND(COUNTIF($L4,"éliminée*"),J7&gt;J$4),1,0)+IF(AND(COUNTIF($L5,"éliminée*"),J7&gt;J$5),1,0)+IF(AND(COUNTIF($L6,"éliminée*"),J7&gt;J$6),1,0)))),"")</f>
        <v/>
      </c>
      <c r="K15" s="15" t="str">
        <f>IF('Vote et Résultats'!$N$13="Valide",IF(COUNTIF($L3:$L7,"gagnante*"),"",IF(COUNTIF($L7,"éliminée*"),"",K7-(IF(AND(COUNTIF($L3,"éliminée*"),K7&gt;K$3),1,0)+IF(AND(COUNTIF($L4,"éliminée*"),K7&gt;K$4),1,0)+IF(AND(COUNTIF($L5,"éliminée*"),K7&gt;K$5),1,0)+IF(AND(COUNTIF($L6,"éliminée*"),K7&gt;K$6),1,0)))),"")</f>
        <v/>
      </c>
      <c r="L15" t="str">
        <f>IF(L7&lt;&gt;"",L7,IF(N15&gt;=6,"gagnante tour "&amp;M15,IF(OR(COUNTIF(N11:N15,"&gt;=6"),N15=MIN(N11:N15)),"éliminée tour "&amp;M15,"")))</f>
        <v>éliminée tour 1</v>
      </c>
      <c r="M15">
        <v>2</v>
      </c>
      <c r="N15" t="str">
        <f t="shared" si="1"/>
        <v/>
      </c>
      <c r="O15">
        <f>IF(N15="",O7,RANK(N15,N11:N15))</f>
        <v>4</v>
      </c>
    </row>
    <row r="17" spans="1:15" x14ac:dyDescent="0.25">
      <c r="A17" s="120" t="s">
        <v>65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</row>
    <row r="18" spans="1:15" x14ac:dyDescent="0.25">
      <c r="B18" t="str">
        <f>IF(COUNTIF(L11:L15,"gagnante*"),"","votant·e 1")</f>
        <v/>
      </c>
      <c r="C18" t="str">
        <f>IF(COUNTIF(L11:L15,"gagnante*"),"","votant·e 2")</f>
        <v/>
      </c>
      <c r="D18" t="str">
        <f>IF(COUNTIF(L11:L15,"gagnante*"),"","votant·e 3")</f>
        <v/>
      </c>
      <c r="E18" t="str">
        <f>IF(COUNTIF(L11:L15,"gagnante*"),"","votant·e 4")</f>
        <v/>
      </c>
      <c r="F18" t="str">
        <f>IF(COUNTIF(L11:L15,"gagnante*"),"","votant·e 5")</f>
        <v/>
      </c>
      <c r="G18" t="str">
        <f>IF(COUNTIF(L11:L15,"gagnante*"),"","votant·e 6")</f>
        <v/>
      </c>
      <c r="H18" t="str">
        <f>IF(COUNTIF(L11:L15,"gagnante*"),"","votant·e 7")</f>
        <v/>
      </c>
      <c r="I18" t="str">
        <f>IF(COUNTIF(L11:L15,"gagnante*"),"","votant·e 8")</f>
        <v/>
      </c>
      <c r="J18" t="str">
        <f>IF(COUNTIF(L11:L15,"gagnante*"),"","votant·e 9")</f>
        <v/>
      </c>
      <c r="K18" t="str">
        <f>IF(COUNTIF(L11:L15,"gagnante*"),"","votant·e 10")</f>
        <v/>
      </c>
      <c r="L18" t="s">
        <v>63</v>
      </c>
      <c r="M18" t="s">
        <v>77</v>
      </c>
      <c r="N18" t="s">
        <v>78</v>
      </c>
      <c r="O18" t="s">
        <v>76</v>
      </c>
    </row>
    <row r="19" spans="1:15" x14ac:dyDescent="0.25">
      <c r="A19" t="s">
        <v>34</v>
      </c>
      <c r="B19" s="15" t="str">
        <f>IF('Vote et Résultats'!$N$4="Valide",IF(COUNTIF($L11:$L15,"gagnante*"),"",IF(COUNTIF($L11,"éliminée*"),"",B11-(IF(AND(COUNTIF($L12,"éliminée*"),B11&gt;B$4),1,0)+IF(AND(COUNTIF($L13,"éliminée*"),B11&gt;B$5),1,0)+IF(AND(COUNTIF($L14,"éliminée*"),B11&gt;B$6),1,0)+IF(AND(COUNTIF($L15,"éliminée*"),B11&gt;B$7),1,0)))),"")</f>
        <v/>
      </c>
      <c r="C19" s="15" t="str">
        <f>IF('Vote et Résultats'!$N$5="Valide",IF(COUNTIF($L11:$L15,"gagnante*"),"",IF(COUNTIF($L11,"éliminée*"),"",C11-(IF(AND(COUNTIF($L12,"éliminée*"),C11&gt;C$4),1,0)+IF(AND(COUNTIF($L13,"éliminée*"),C11&gt;C$5),1,0)+IF(AND(COUNTIF($L14,"éliminée*"),C11&gt;C$6),1,0)+IF(AND(COUNTIF($L15,"éliminée*"),C11&gt;C$7),1,0)))),"")</f>
        <v/>
      </c>
      <c r="D19" s="15" t="str">
        <f>IF('Vote et Résultats'!$N$6="Valide",IF(COUNTIF($L11:$L15,"gagnante*"),"",IF(COUNTIF($L11,"éliminée*"),"",D11-(IF(AND(COUNTIF($L12,"éliminée*"),D11&gt;D$4),1,0)+IF(AND(COUNTIF($L13,"éliminée*"),D11&gt;D$5),1,0)+IF(AND(COUNTIF($L14,"éliminée*"),D11&gt;D$6),1,0)+IF(AND(COUNTIF($L15,"éliminée*"),D11&gt;D$7),1,0)))),"")</f>
        <v/>
      </c>
      <c r="E19" s="15" t="str">
        <f>IF('Vote et Résultats'!$N$7="Valide",IF(COUNTIF($L11:$L15,"gagnante*"),"",IF(COUNTIF($L11,"éliminée*"),"",E11-(IF(AND(COUNTIF($L12,"éliminée*"),E11&gt;E$4),1,0)+IF(AND(COUNTIF($L13,"éliminée*"),E11&gt;E$5),1,0)+IF(AND(COUNTIF($L14,"éliminée*"),E11&gt;E$6),1,0)+IF(AND(COUNTIF($L15,"éliminée*"),E11&gt;E$7),1,0)))),"")</f>
        <v/>
      </c>
      <c r="F19" s="15" t="str">
        <f>IF('Vote et Résultats'!$N$8="Valide",IF(COUNTIF($L11:$L15,"gagnante*"),"",IF(COUNTIF($L11,"éliminée*"),"",F11-(IF(AND(COUNTIF($L12,"éliminée*"),F11&gt;F$4),1,0)+IF(AND(COUNTIF($L13,"éliminée*"),F11&gt;F$5),1,0)+IF(AND(COUNTIF($L14,"éliminée*"),F11&gt;F$6),1,0)+IF(AND(COUNTIF($L15,"éliminée*"),F11&gt;F$7),1,0)))),"")</f>
        <v/>
      </c>
      <c r="G19" s="15" t="str">
        <f>IF('Vote et Résultats'!$N$9="Valide",IF(COUNTIF($L11:$L15,"gagnante*"),"",IF(COUNTIF($L11,"éliminée*"),"",G11-(IF(AND(COUNTIF($L12,"éliminée*"),G11&gt;G$4),1,0)+IF(AND(COUNTIF($L13,"éliminée*"),G11&gt;G$5),1,0)+IF(AND(COUNTIF($L14,"éliminée*"),G11&gt;G$6),1,0)+IF(AND(COUNTIF($L15,"éliminée*"),G11&gt;G$7),1,0)))),"")</f>
        <v/>
      </c>
      <c r="H19" s="15" t="str">
        <f>IF('Vote et Résultats'!$N$10="Valide",IF(COUNTIF($L11:$L15,"gagnante*"),"",IF(COUNTIF($L11,"éliminée*"),"",H11-(IF(AND(COUNTIF($L12,"éliminée*"),H11&gt;H$4),1,0)+IF(AND(COUNTIF($L13,"éliminée*"),H11&gt;H$5),1,0)+IF(AND(COUNTIF($L14,"éliminée*"),H11&gt;H$6),1,0)+IF(AND(COUNTIF($L15,"éliminée*"),H11&gt;H$7),1,0)))),"")</f>
        <v/>
      </c>
      <c r="I19" s="15" t="str">
        <f>IF('Vote et Résultats'!$N$11="Valide",IF(COUNTIF($L11:$L15,"gagnante*"),"",IF(COUNTIF($L11,"éliminée*"),"",I11-(IF(AND(COUNTIF($L12,"éliminée*"),I11&gt;I$4),1,0)+IF(AND(COUNTIF($L13,"éliminée*"),I11&gt;I$5),1,0)+IF(AND(COUNTIF($L14,"éliminée*"),I11&gt;I$6),1,0)+IF(AND(COUNTIF($L15,"éliminée*"),I11&gt;I$7),1,0)))),"")</f>
        <v/>
      </c>
      <c r="J19" s="15" t="str">
        <f>IF('Vote et Résultats'!$N$12="Valide",IF(COUNTIF($L11:$L15,"gagnante*"),"",IF(COUNTIF($L11,"éliminée*"),"",J11-(IF(AND(COUNTIF($L12,"éliminée*"),J11&gt;J$4),1,0)+IF(AND(COUNTIF($L13,"éliminée*"),J11&gt;J$5),1,0)+IF(AND(COUNTIF($L14,"éliminée*"),J11&gt;J$6),1,0)+IF(AND(COUNTIF($L15,"éliminée*"),J11&gt;J$7),1,0)))),"")</f>
        <v/>
      </c>
      <c r="K19" s="15" t="str">
        <f>IF('Vote et Résultats'!$N$13="Valide",IF(COUNTIF($L11:$L15,"gagnante*"),"",IF(COUNTIF($L11,"éliminée*"),"",K11-(IF(AND(COUNTIF($L12,"éliminée*"),K11&gt;K$4),1,0)+IF(AND(COUNTIF($L13,"éliminée*"),K11&gt;K$5),1,0)+IF(AND(COUNTIF($L14,"éliminée*"),K11&gt;K$6),1,0)+IF(AND(COUNTIF($L15,"éliminée*"),K11&gt;K$7),1,0)))),"")</f>
        <v/>
      </c>
      <c r="L19" t="str">
        <f>IF(L11&lt;&gt;"",L11,IF(N19&gt;=6,"gagnante tour "&amp;M19,IF(OR(COUNTIF(N19:N23,"&gt;=6"),N19=MIN(N19:N23)),"éliminée tour "&amp;M19,"")))</f>
        <v>gagnante tour 1</v>
      </c>
      <c r="M19">
        <v>3</v>
      </c>
      <c r="N19" t="str">
        <f>IF(L11&lt;&gt;"","",COUNTIF(B19:K19,1))</f>
        <v/>
      </c>
      <c r="O19">
        <f>IF(N19="",O11,RANK(N19,N19:N23))</f>
        <v>1</v>
      </c>
    </row>
    <row r="20" spans="1:15" x14ac:dyDescent="0.25">
      <c r="A20" t="s">
        <v>0</v>
      </c>
      <c r="B20" s="15" t="str">
        <f>IF('Vote et Résultats'!$N$4="Valide",IF(COUNTIF($L11:$L15,"gagnante*"),"",IF(COUNTIF($L12,"éliminée*"),"",B12-(IF(AND(COUNTIF($L11,"éliminée*"),B12&gt;B$3),1,0)+IF(AND(COUNTIF($L13,"éliminée*"),B12&gt;B$5),1,0)+IF(AND(COUNTIF($L14,"éliminée*"),B12&gt;B$6),1,0)+IF(AND(COUNTIF($L15,"éliminée*"),B12&gt;B$7),1,0)))),"")</f>
        <v/>
      </c>
      <c r="C20" s="15" t="str">
        <f>IF('Vote et Résultats'!$N$5="Valide",IF(COUNTIF($L11:$L15,"gagnante*"),"",IF(COUNTIF($L12,"éliminée*"),"",C12-(IF(AND(COUNTIF($L11,"éliminée*"),C12&gt;C$3),1,0)+IF(AND(COUNTIF($L13,"éliminée*"),C12&gt;C$5),1,0)+IF(AND(COUNTIF($L14,"éliminée*"),C12&gt;C$6),1,0)+IF(AND(COUNTIF($L15,"éliminée*"),C12&gt;C$7),1,0)))),"")</f>
        <v/>
      </c>
      <c r="D20" s="15" t="str">
        <f>IF('Vote et Résultats'!$N$6="Valide",IF(COUNTIF($L11:$L15,"gagnante*"),"",IF(COUNTIF($L12,"éliminée*"),"",D12-(IF(AND(COUNTIF($L11,"éliminée*"),D12&gt;D$3),1,0)+IF(AND(COUNTIF($L13,"éliminée*"),D12&gt;D$5),1,0)+IF(AND(COUNTIF($L14,"éliminée*"),D12&gt;D$6),1,0)+IF(AND(COUNTIF($L15,"éliminée*"),D12&gt;D$7),1,0)))),"")</f>
        <v/>
      </c>
      <c r="E20" s="15" t="str">
        <f>IF('Vote et Résultats'!$N$7="Valide",IF(COUNTIF($L11:$L15,"gagnante*"),"",IF(COUNTIF($L12,"éliminée*"),"",E12-(IF(AND(COUNTIF($L11,"éliminée*"),E12&gt;E$3),1,0)+IF(AND(COUNTIF($L13,"éliminée*"),E12&gt;E$5),1,0)+IF(AND(COUNTIF($L14,"éliminée*"),E12&gt;E$6),1,0)+IF(AND(COUNTIF($L15,"éliminée*"),E12&gt;E$7),1,0)))),"")</f>
        <v/>
      </c>
      <c r="F20" s="15" t="str">
        <f>IF('Vote et Résultats'!$N$8="Valide",IF(COUNTIF($L11:$L15,"gagnante*"),"",IF(COUNTIF($L12,"éliminée*"),"",F12-(IF(AND(COUNTIF($L11,"éliminée*"),F12&gt;F$3),1,0)+IF(AND(COUNTIF($L13,"éliminée*"),F12&gt;F$5),1,0)+IF(AND(COUNTIF($L14,"éliminée*"),F12&gt;F$6),1,0)+IF(AND(COUNTIF($L15,"éliminée*"),F12&gt;F$7),1,0)))),"")</f>
        <v/>
      </c>
      <c r="G20" s="15" t="str">
        <f>IF('Vote et Résultats'!$N$9="Valide",IF(COUNTIF($L11:$L15,"gagnante*"),"",IF(COUNTIF($L12,"éliminée*"),"",G12-(IF(AND(COUNTIF($L11,"éliminée*"),G12&gt;G$3),1,0)+IF(AND(COUNTIF($L13,"éliminée*"),G12&gt;G$5),1,0)+IF(AND(COUNTIF($L14,"éliminée*"),G12&gt;G$6),1,0)+IF(AND(COUNTIF($L15,"éliminée*"),G12&gt;G$7),1,0)))),"")</f>
        <v/>
      </c>
      <c r="H20" s="15" t="str">
        <f>IF('Vote et Résultats'!$N$10="Valide",IF(COUNTIF($L11:$L15,"gagnante*"),"",IF(COUNTIF($L12,"éliminée*"),"",H12-(IF(AND(COUNTIF($L11,"éliminée*"),H12&gt;H$3),1,0)+IF(AND(COUNTIF($L13,"éliminée*"),H12&gt;H$5),1,0)+IF(AND(COUNTIF($L14,"éliminée*"),H12&gt;H$6),1,0)+IF(AND(COUNTIF($L15,"éliminée*"),H12&gt;H$7),1,0)))),"")</f>
        <v/>
      </c>
      <c r="I20" s="15" t="str">
        <f>IF('Vote et Résultats'!$N$11="Valide",IF(COUNTIF($L11:$L15,"gagnante*"),"",IF(COUNTIF($L12,"éliminée*"),"",I12-(IF(AND(COUNTIF($L11,"éliminée*"),I12&gt;I$3),1,0)+IF(AND(COUNTIF($L13,"éliminée*"),I12&gt;I$5),1,0)+IF(AND(COUNTIF($L14,"éliminée*"),I12&gt;I$6),1,0)+IF(AND(COUNTIF($L15,"éliminée*"),I12&gt;I$7),1,0)))),"")</f>
        <v/>
      </c>
      <c r="J20" s="15" t="str">
        <f>IF('Vote et Résultats'!$N$12="Valide",IF(COUNTIF($L11:$L15,"gagnante*"),"",IF(COUNTIF($L12,"éliminée*"),"",J12-(IF(AND(COUNTIF($L11,"éliminée*"),J12&gt;J$3),1,0)+IF(AND(COUNTIF($L13,"éliminée*"),J12&gt;J$5),1,0)+IF(AND(COUNTIF($L14,"éliminée*"),J12&gt;J$6),1,0)+IF(AND(COUNTIF($L15,"éliminée*"),J12&gt;J$7),1,0)))),"")</f>
        <v/>
      </c>
      <c r="K20" s="15" t="str">
        <f>IF('Vote et Résultats'!$N$13="Valide",IF(COUNTIF($L11:$L15,"gagnante*"),"",IF(COUNTIF($L12,"éliminée*"),"",K12-(IF(AND(COUNTIF($L11,"éliminée*"),K12&gt;K$3),1,0)+IF(AND(COUNTIF($L13,"éliminée*"),K12&gt;K$5),1,0)+IF(AND(COUNTIF($L14,"éliminée*"),K12&gt;K$6),1,0)+IF(AND(COUNTIF($L15,"éliminée*"),K12&gt;K$7),1,0)))),"")</f>
        <v/>
      </c>
      <c r="L20" t="str">
        <f>IF(L12&lt;&gt;"",L12,IF(N20&gt;=6,"gagnante tour "&amp;M20,IF(OR(COUNTIF(N19:N23,"&gt;=6"),N20=MIN(N19:N23)),"éliminée tour "&amp;M20,"")))</f>
        <v>éliminée tour 1</v>
      </c>
      <c r="M20">
        <v>3</v>
      </c>
      <c r="N20" t="str">
        <f t="shared" ref="N20:N23" si="2">IF(L12&lt;&gt;"","",COUNTIF(B20:K20,1))</f>
        <v/>
      </c>
      <c r="O20">
        <f>IF(N20="",O12,RANK(N20,N19:N23))</f>
        <v>2</v>
      </c>
    </row>
    <row r="21" spans="1:15" x14ac:dyDescent="0.25">
      <c r="A21" t="s">
        <v>1</v>
      </c>
      <c r="B21" s="15" t="str">
        <f>IF('Vote et Résultats'!$N$4="Valide",IF(COUNTIF($L11:$L15,"gagnante*"),"",IF(COUNTIF($L13,"éliminée*"),"",B13-(IF(AND(COUNTIF($L11,"éliminée*"),B13&gt;B$3),1,0)+IF(AND(COUNTIF($L12,"éliminée*"),B13&gt;B$4),1,0)+IF(AND(COUNTIF($L14,"éliminée*"),B13&gt;B$6),1,0)+IF(AND(COUNTIF($L15,"éliminée*"),B13&gt;B$7),1,0)))),"")</f>
        <v/>
      </c>
      <c r="C21" s="15" t="str">
        <f>IF('Vote et Résultats'!$N$5="Valide",IF(COUNTIF($L11:$L15,"gagnante*"),"",IF(COUNTIF($L13,"éliminée*"),"",C13-(IF(AND(COUNTIF($L11,"éliminée*"),C13&gt;C$3),1,0)+IF(AND(COUNTIF($L12,"éliminée*"),C13&gt;C$4),1,0)+IF(AND(COUNTIF($L14,"éliminée*"),C13&gt;C$6),1,0)+IF(AND(COUNTIF($L15,"éliminée*"),C13&gt;C$7),1,0)))),"")</f>
        <v/>
      </c>
      <c r="D21" s="15" t="str">
        <f>IF('Vote et Résultats'!$N$6="Valide",IF(COUNTIF($L11:$L15,"gagnante*"),"",IF(COUNTIF($L13,"éliminée*"),"",D13-(IF(AND(COUNTIF($L11,"éliminée*"),D13&gt;D$3),1,0)+IF(AND(COUNTIF($L12,"éliminée*"),D13&gt;D$4),1,0)+IF(AND(COUNTIF($L14,"éliminée*"),D13&gt;D$6),1,0)+IF(AND(COUNTIF($L15,"éliminée*"),D13&gt;D$7),1,0)))),"")</f>
        <v/>
      </c>
      <c r="E21" s="15" t="str">
        <f>IF('Vote et Résultats'!$N$7="Valide",IF(COUNTIF($L11:$L15,"gagnante*"),"",IF(COUNTIF($L13,"éliminée*"),"",E13-(IF(AND(COUNTIF($L11,"éliminée*"),E13&gt;E$3),1,0)+IF(AND(COUNTIF($L12,"éliminée*"),E13&gt;E$4),1,0)+IF(AND(COUNTIF($L14,"éliminée*"),E13&gt;E$6),1,0)+IF(AND(COUNTIF($L15,"éliminée*"),E13&gt;E$7),1,0)))),"")</f>
        <v/>
      </c>
      <c r="F21" s="15" t="str">
        <f>IF('Vote et Résultats'!$N$8="Valide",IF(COUNTIF($L11:$L15,"gagnante*"),"",IF(COUNTIF($L13,"éliminée*"),"",F13-(IF(AND(COUNTIF($L11,"éliminée*"),F13&gt;F$3),1,0)+IF(AND(COUNTIF($L12,"éliminée*"),F13&gt;F$4),1,0)+IF(AND(COUNTIF($L14,"éliminée*"),F13&gt;F$6),1,0)+IF(AND(COUNTIF($L15,"éliminée*"),F13&gt;F$7),1,0)))),"")</f>
        <v/>
      </c>
      <c r="G21" s="15" t="str">
        <f>IF('Vote et Résultats'!$N$9="Valide",IF(COUNTIF($L11:$L15,"gagnante*"),"",IF(COUNTIF($L13,"éliminée*"),"",G13-(IF(AND(COUNTIF($L11,"éliminée*"),G13&gt;G$3),1,0)+IF(AND(COUNTIF($L12,"éliminée*"),G13&gt;G$4),1,0)+IF(AND(COUNTIF($L14,"éliminée*"),G13&gt;G$6),1,0)+IF(AND(COUNTIF($L15,"éliminée*"),G13&gt;G$7),1,0)))),"")</f>
        <v/>
      </c>
      <c r="H21" s="15" t="str">
        <f>IF('Vote et Résultats'!$N$10="Valide",IF(COUNTIF($L11:$L15,"gagnante*"),"",IF(COUNTIF($L13,"éliminée*"),"",H13-(IF(AND(COUNTIF($L11,"éliminée*"),H13&gt;H$3),1,0)+IF(AND(COUNTIF($L12,"éliminée*"),H13&gt;H$4),1,0)+IF(AND(COUNTIF($L14,"éliminée*"),H13&gt;H$6),1,0)+IF(AND(COUNTIF($L15,"éliminée*"),H13&gt;H$7),1,0)))),"")</f>
        <v/>
      </c>
      <c r="I21" s="15" t="str">
        <f>IF('Vote et Résultats'!$N$11="Valide",IF(COUNTIF($L11:$L15,"gagnante*"),"",IF(COUNTIF($L13,"éliminée*"),"",I13-(IF(AND(COUNTIF($L11,"éliminée*"),I13&gt;I$3),1,0)+IF(AND(COUNTIF($L12,"éliminée*"),I13&gt;I$4),1,0)+IF(AND(COUNTIF($L14,"éliminée*"),I13&gt;I$6),1,0)+IF(AND(COUNTIF($L15,"éliminée*"),I13&gt;I$7),1,0)))),"")</f>
        <v/>
      </c>
      <c r="J21" s="15" t="str">
        <f>IF('Vote et Résultats'!$N$12="Valide",IF(COUNTIF($L11:$L15,"gagnante*"),"",IF(COUNTIF($L13,"éliminée*"),"",J13-(IF(AND(COUNTIF($L11,"éliminée*"),J13&gt;J$3),1,0)+IF(AND(COUNTIF($L12,"éliminée*"),J13&gt;J$4),1,0)+IF(AND(COUNTIF($L14,"éliminée*"),J13&gt;J$6),1,0)+IF(AND(COUNTIF($L15,"éliminée*"),J13&gt;J$7),1,0)))),"")</f>
        <v/>
      </c>
      <c r="K21" s="15" t="str">
        <f>IF('Vote et Résultats'!$N$13="Valide",IF(COUNTIF($L11:$L15,"gagnante*"),"",IF(COUNTIF($L13,"éliminée*"),"",K13-(IF(AND(COUNTIF($L11,"éliminée*"),K13&gt;K$3),1,0)+IF(AND(COUNTIF($L12,"éliminée*"),K13&gt;K$4),1,0)+IF(AND(COUNTIF($L14,"éliminée*"),K13&gt;K$6),1,0)+IF(AND(COUNTIF($L15,"éliminée*"),K13&gt;K$7),1,0)))),"")</f>
        <v/>
      </c>
      <c r="L21" t="str">
        <f>IF(L13&lt;&gt;"",L13,IF(N21&gt;=6,"gagnante tour "&amp;M21,IF(OR(COUNTIF(N19:N23,"&gt;=6"),N21=MIN(N19:N23)),"éliminée tour "&amp;M21,"")))</f>
        <v>éliminée tour 1</v>
      </c>
      <c r="M21">
        <v>3</v>
      </c>
      <c r="N21" t="str">
        <f t="shared" si="2"/>
        <v/>
      </c>
      <c r="O21">
        <f>IF(N21="",O13,RANK(N21,N19:N23))</f>
        <v>4</v>
      </c>
    </row>
    <row r="22" spans="1:15" x14ac:dyDescent="0.25">
      <c r="A22" t="s">
        <v>2</v>
      </c>
      <c r="B22" s="15" t="str">
        <f>IF('Vote et Résultats'!$N$4="Valide",IF(COUNTIF($L11:$L15,"gagnante*"),"",IF(COUNTIF($L14,"éliminée*"),"",B14-(IF(AND(COUNTIF($L11,"éliminée*"),B14&gt;B$3),1,0)+IF(AND(COUNTIF($L12,"éliminée*"),B14&gt;B$4),1,0)+IF(AND(COUNTIF($L13,"éliminée*"),B14&gt;B$5),1,0)+IF(AND(COUNTIF($L15,"éliminée*"),B14&gt;B$7),1,0)))),"")</f>
        <v/>
      </c>
      <c r="C22" s="15" t="str">
        <f>IF('Vote et Résultats'!$N$5="Valide",IF(COUNTIF($L11:$L15,"gagnante*"),"",IF(COUNTIF($L14,"éliminée*"),"",C14-(IF(AND(COUNTIF($L11,"éliminée*"),C14&gt;C$3),1,0)+IF(AND(COUNTIF($L12,"éliminée*"),C14&gt;C$4),1,0)+IF(AND(COUNTIF($L13,"éliminée*"),C14&gt;C$5),1,0)+IF(AND(COUNTIF($L15,"éliminée*"),C14&gt;C$7),1,0)))),"")</f>
        <v/>
      </c>
      <c r="D22" s="15" t="str">
        <f>IF('Vote et Résultats'!$N$6="Valide",IF(COUNTIF($L11:$L15,"gagnante*"),"",IF(COUNTIF($L14,"éliminée*"),"",D14-(IF(AND(COUNTIF($L11,"éliminée*"),D14&gt;D$3),1,0)+IF(AND(COUNTIF($L12,"éliminée*"),D14&gt;D$4),1,0)+IF(AND(COUNTIF($L13,"éliminée*"),D14&gt;D$5),1,0)+IF(AND(COUNTIF($L15,"éliminée*"),D14&gt;D$7),1,0)))),"")</f>
        <v/>
      </c>
      <c r="E22" s="15" t="str">
        <f>IF('Vote et Résultats'!$N$7="Valide",IF(COUNTIF($L11:$L15,"gagnante*"),"",IF(COUNTIF($L14,"éliminée*"),"",E14-(IF(AND(COUNTIF($L11,"éliminée*"),E14&gt;E$3),1,0)+IF(AND(COUNTIF($L12,"éliminée*"),E14&gt;E$4),1,0)+IF(AND(COUNTIF($L13,"éliminée*"),E14&gt;E$5),1,0)+IF(AND(COUNTIF($L15,"éliminée*"),E14&gt;E$7),1,0)))),"")</f>
        <v/>
      </c>
      <c r="F22" s="15" t="str">
        <f>IF('Vote et Résultats'!$N$8="Valide",IF(COUNTIF($L11:$L15,"gagnante*"),"",IF(COUNTIF($L14,"éliminée*"),"",F14-(IF(AND(COUNTIF($L11,"éliminée*"),F14&gt;F$3),1,0)+IF(AND(COUNTIF($L12,"éliminée*"),F14&gt;F$4),1,0)+IF(AND(COUNTIF($L13,"éliminée*"),F14&gt;F$5),1,0)+IF(AND(COUNTIF($L15,"éliminée*"),F14&gt;F$7),1,0)))),"")</f>
        <v/>
      </c>
      <c r="G22" s="15" t="str">
        <f>IF('Vote et Résultats'!$N$9="Valide",IF(COUNTIF($L11:$L15,"gagnante*"),"",IF(COUNTIF($L14,"éliminée*"),"",G14-(IF(AND(COUNTIF($L11,"éliminée*"),G14&gt;G$3),1,0)+IF(AND(COUNTIF($L12,"éliminée*"),G14&gt;G$4),1,0)+IF(AND(COUNTIF($L13,"éliminée*"),G14&gt;G$5),1,0)+IF(AND(COUNTIF($L15,"éliminée*"),G14&gt;G$7),1,0)))),"")</f>
        <v/>
      </c>
      <c r="H22" s="15" t="str">
        <f>IF('Vote et Résultats'!$N$10="Valide",IF(COUNTIF($L11:$L15,"gagnante*"),"",IF(COUNTIF($L14,"éliminée*"),"",H14-(IF(AND(COUNTIF($L11,"éliminée*"),H14&gt;H$3),1,0)+IF(AND(COUNTIF($L12,"éliminée*"),H14&gt;H$4),1,0)+IF(AND(COUNTIF($L13,"éliminée*"),H14&gt;H$5),1,0)+IF(AND(COUNTIF($L15,"éliminée*"),H14&gt;H$7),1,0)))),"")</f>
        <v/>
      </c>
      <c r="I22" s="15" t="str">
        <f>IF('Vote et Résultats'!$N$11="Valide",IF(COUNTIF($L11:$L15,"gagnante*"),"",IF(COUNTIF($L14,"éliminée*"),"",I14-(IF(AND(COUNTIF($L11,"éliminée*"),I14&gt;I$3),1,0)+IF(AND(COUNTIF($L12,"éliminée*"),I14&gt;I$4),1,0)+IF(AND(COUNTIF($L13,"éliminée*"),I14&gt;I$5),1,0)+IF(AND(COUNTIF($L15,"éliminée*"),I14&gt;I$7),1,0)))),"")</f>
        <v/>
      </c>
      <c r="J22" s="15" t="str">
        <f>IF('Vote et Résultats'!$N$12="Valide",IF(COUNTIF($L11:$L15,"gagnante*"),"",IF(COUNTIF($L14,"éliminée*"),"",J14-(IF(AND(COUNTIF($L11,"éliminée*"),J14&gt;J$3),1,0)+IF(AND(COUNTIF($L12,"éliminée*"),J14&gt;J$4),1,0)+IF(AND(COUNTIF($L13,"éliminée*"),J14&gt;J$5),1,0)+IF(AND(COUNTIF($L15,"éliminée*"),J14&gt;J$7),1,0)))),"")</f>
        <v/>
      </c>
      <c r="K22" s="15" t="str">
        <f>IF('Vote et Résultats'!$N$13="Valide",IF(COUNTIF($L11:$L15,"gagnante*"),"",IF(COUNTIF($L14,"éliminée*"),"",K14-(IF(AND(COUNTIF($L11,"éliminée*"),K14&gt;K$3),1,0)+IF(AND(COUNTIF($L12,"éliminée*"),K14&gt;K$4),1,0)+IF(AND(COUNTIF($L13,"éliminée*"),K14&gt;K$5),1,0)+IF(AND(COUNTIF($L15,"éliminée*"),K14&gt;K$7),1,0)))),"")</f>
        <v/>
      </c>
      <c r="L22" t="str">
        <f>IF(L14&lt;&gt;"",L14,IF(N22&gt;=6,"gagnante tour "&amp;M22,IF(OR(COUNTIF(N19:N23,"&gt;=6"),N22=MIN(N19:N23)),"éliminée tour "&amp;M22,"")))</f>
        <v>éliminée tour 1</v>
      </c>
      <c r="M22">
        <v>3</v>
      </c>
      <c r="N22" t="str">
        <f t="shared" si="2"/>
        <v/>
      </c>
      <c r="O22">
        <f>IF(N22="",O14,RANK(N22,N19:N23))</f>
        <v>3</v>
      </c>
    </row>
    <row r="23" spans="1:15" x14ac:dyDescent="0.25">
      <c r="A23" t="s">
        <v>3</v>
      </c>
      <c r="B23" s="15" t="str">
        <f>IF('Vote et Résultats'!$N$4="Valide",IF(COUNTIF($L11:$L15,"gagnante*"),"",IF(COUNTIF($L15,"éliminée*"),"",B15-(IF(AND(COUNTIF($L11,"éliminée*"),B15&gt;B$3),1,0)+IF(AND(COUNTIF($L12,"éliminée*"),B15&gt;B$4),1,0)+IF(AND(COUNTIF($L13,"éliminée*"),B15&gt;B$5),1,0)+IF(AND(COUNTIF($L14,"éliminée*"),B15&gt;B$6),1,0)))),"")</f>
        <v/>
      </c>
      <c r="C23" s="15" t="str">
        <f>IF('Vote et Résultats'!$N$5="Valide",IF(COUNTIF($L11:$L15,"gagnante*"),"",IF(COUNTIF($L15,"éliminée*"),"",C15-(IF(AND(COUNTIF($L11,"éliminée*"),C15&gt;C$3),1,0)+IF(AND(COUNTIF($L12,"éliminée*"),C15&gt;C$4),1,0)+IF(AND(COUNTIF($L13,"éliminée*"),C15&gt;C$5),1,0)+IF(AND(COUNTIF($L14,"éliminée*"),C15&gt;C$6),1,0)))),"")</f>
        <v/>
      </c>
      <c r="D23" s="15" t="str">
        <f>IF('Vote et Résultats'!$N$6="Valide",IF(COUNTIF($L11:$L15,"gagnante*"),"",IF(COUNTIF($L15,"éliminée*"),"",D15-(IF(AND(COUNTIF($L11,"éliminée*"),D15&gt;D$3),1,0)+IF(AND(COUNTIF($L12,"éliminée*"),D15&gt;D$4),1,0)+IF(AND(COUNTIF($L13,"éliminée*"),D15&gt;D$5),1,0)+IF(AND(COUNTIF($L14,"éliminée*"),D15&gt;D$6),1,0)))),"")</f>
        <v/>
      </c>
      <c r="E23" s="15" t="str">
        <f>IF('Vote et Résultats'!$N$7="Valide",IF(COUNTIF($L11:$L15,"gagnante*"),"",IF(COUNTIF($L15,"éliminée*"),"",E15-(IF(AND(COUNTIF($L11,"éliminée*"),E15&gt;E$3),1,0)+IF(AND(COUNTIF($L12,"éliminée*"),E15&gt;E$4),1,0)+IF(AND(COUNTIF($L13,"éliminée*"),E15&gt;E$5),1,0)+IF(AND(COUNTIF($L14,"éliminée*"),E15&gt;E$6),1,0)))),"")</f>
        <v/>
      </c>
      <c r="F23" s="15" t="str">
        <f>IF('Vote et Résultats'!$N$8="Valide",IF(COUNTIF($L11:$L15,"gagnante*"),"",IF(COUNTIF($L15,"éliminée*"),"",F15-(IF(AND(COUNTIF($L11,"éliminée*"),F15&gt;F$3),1,0)+IF(AND(COUNTIF($L12,"éliminée*"),F15&gt;F$4),1,0)+IF(AND(COUNTIF($L13,"éliminée*"),F15&gt;F$5),1,0)+IF(AND(COUNTIF($L14,"éliminée*"),F15&gt;F$6),1,0)))),"")</f>
        <v/>
      </c>
      <c r="G23" s="15" t="str">
        <f>IF('Vote et Résultats'!$N$9="Valide",IF(COUNTIF($L11:$L15,"gagnante*"),"",IF(COUNTIF($L15,"éliminée*"),"",G15-(IF(AND(COUNTIF($L11,"éliminée*"),G15&gt;G$3),1,0)+IF(AND(COUNTIF($L12,"éliminée*"),G15&gt;G$4),1,0)+IF(AND(COUNTIF($L13,"éliminée*"),G15&gt;G$5),1,0)+IF(AND(COUNTIF($L14,"éliminée*"),G15&gt;G$6),1,0)))),"")</f>
        <v/>
      </c>
      <c r="H23" s="15" t="str">
        <f>IF('Vote et Résultats'!$N$10="Valide",IF(COUNTIF($L11:$L15,"gagnante*"),"",IF(COUNTIF($L15,"éliminée*"),"",H15-(IF(AND(COUNTIF($L11,"éliminée*"),H15&gt;H$3),1,0)+IF(AND(COUNTIF($L12,"éliminée*"),H15&gt;H$4),1,0)+IF(AND(COUNTIF($L13,"éliminée*"),H15&gt;H$5),1,0)+IF(AND(COUNTIF($L14,"éliminée*"),H15&gt;H$6),1,0)))),"")</f>
        <v/>
      </c>
      <c r="I23" s="15" t="str">
        <f>IF('Vote et Résultats'!$N$11="Valide",IF(COUNTIF($L11:$L15,"gagnante*"),"",IF(COUNTIF($L15,"éliminée*"),"",I15-(IF(AND(COUNTIF($L11,"éliminée*"),I15&gt;I$3),1,0)+IF(AND(COUNTIF($L12,"éliminée*"),I15&gt;I$4),1,0)+IF(AND(COUNTIF($L13,"éliminée*"),I15&gt;I$5),1,0)+IF(AND(COUNTIF($L14,"éliminée*"),I15&gt;I$6),1,0)))),"")</f>
        <v/>
      </c>
      <c r="J23" s="15" t="str">
        <f>IF('Vote et Résultats'!$N$12="Valide",IF(COUNTIF($L11:$L15,"gagnante*"),"",IF(COUNTIF($L15,"éliminée*"),"",J15-(IF(AND(COUNTIF($L11,"éliminée*"),J15&gt;J$3),1,0)+IF(AND(COUNTIF($L12,"éliminée*"),J15&gt;J$4),1,0)+IF(AND(COUNTIF($L13,"éliminée*"),J15&gt;J$5),1,0)+IF(AND(COUNTIF($L14,"éliminée*"),J15&gt;J$6),1,0)))),"")</f>
        <v/>
      </c>
      <c r="K23" s="15" t="str">
        <f>IF('Vote et Résultats'!$N$13="Valide",IF(COUNTIF($L11:$L15,"gagnante*"),"",IF(COUNTIF($L15,"éliminée*"),"",K15-(IF(AND(COUNTIF($L11,"éliminée*"),K15&gt;K$3),1,0)+IF(AND(COUNTIF($L12,"éliminée*"),K15&gt;K$4),1,0)+IF(AND(COUNTIF($L13,"éliminée*"),K15&gt;K$5),1,0)+IF(AND(COUNTIF($L14,"éliminée*"),K15&gt;K$6),1,0)))),"")</f>
        <v/>
      </c>
      <c r="L23" t="str">
        <f>IF(L15&lt;&gt;"",L15,IF(N23&gt;=6,"gagnante tour "&amp;M23,IF(OR(COUNTIF(N19:N23,"&gt;=6"),N23=MIN(N19:N23)),"éliminée tour "&amp;M23,"")))</f>
        <v>éliminée tour 1</v>
      </c>
      <c r="M23">
        <v>3</v>
      </c>
      <c r="N23" t="str">
        <f t="shared" si="2"/>
        <v/>
      </c>
      <c r="O23">
        <f>IF(N23="",O15,RANK(N23,N19:N23))</f>
        <v>4</v>
      </c>
    </row>
    <row r="25" spans="1:15" x14ac:dyDescent="0.25">
      <c r="A25" s="121" t="s">
        <v>66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5" x14ac:dyDescent="0.25">
      <c r="B26" t="str">
        <f>IF(COUNTIF(L19:L23,"gagnante*"),"","votant·e 1")</f>
        <v/>
      </c>
      <c r="C26" t="str">
        <f>IF(COUNTIF(L19:L23,"gagnante*"),"","votant·e 2")</f>
        <v/>
      </c>
      <c r="D26" t="str">
        <f>IF(COUNTIF(L19:L23,"gagnante*"),"","votant·e 3")</f>
        <v/>
      </c>
      <c r="E26" t="str">
        <f>IF(COUNTIF(L19:L23,"gagnante*"),"","votant·e 4")</f>
        <v/>
      </c>
      <c r="F26" t="str">
        <f>IF(COUNTIF(L19:L23,"gagnante*"),"","votant·e 5")</f>
        <v/>
      </c>
      <c r="G26" t="str">
        <f>IF(COUNTIF(L19:L23,"gagnante*"),"","votant·e 6")</f>
        <v/>
      </c>
      <c r="H26" t="str">
        <f>IF(COUNTIF(L19:L23,"gagnante*"),"","votant·e 7")</f>
        <v/>
      </c>
      <c r="I26" t="str">
        <f>IF(COUNTIF(L19:L23,"gagnante*"),"","votant·e 8")</f>
        <v/>
      </c>
      <c r="J26" t="str">
        <f>IF(COUNTIF(L19:L23,"gagnante*"),"","votant·e 9")</f>
        <v/>
      </c>
      <c r="K26" t="str">
        <f>IF(COUNTIF(L19:L23,"gagnante*"),"","votant·e 10")</f>
        <v/>
      </c>
      <c r="L26" t="s">
        <v>63</v>
      </c>
      <c r="M26" t="s">
        <v>77</v>
      </c>
      <c r="N26" t="s">
        <v>78</v>
      </c>
      <c r="O26" t="s">
        <v>76</v>
      </c>
    </row>
    <row r="27" spans="1:15" x14ac:dyDescent="0.25">
      <c r="A27" t="s">
        <v>34</v>
      </c>
      <c r="B27" s="15" t="str">
        <f>IF('Vote et Résultats'!$N$4="Valide",IF(COUNTIF($L19:$L23,"gagnante*"),"",IF(COUNTIF($L19,"éliminée*"),"",B19-(IF(AND(COUNTIF($L20,"éliminée*"),B19&gt;B$4),1,0)+IF(AND(COUNTIF($L21,"éliminée*"),B19&gt;B$5),1,0)+IF(AND(COUNTIF($L22,"éliminée*"),B19&gt;B$6),1,0)+IF(AND(COUNTIF($L23,"éliminée*"),B19&gt;B$7),1,0)))),"")</f>
        <v/>
      </c>
      <c r="C27" s="15" t="str">
        <f>IF('Vote et Résultats'!$N$5="Valide",IF(COUNTIF($L19:$L23,"gagnante*"),"",IF(COUNTIF($L19,"éliminée*"),"",C19-(IF(AND(COUNTIF($L20,"éliminée*"),C19&gt;C$4),1,0)+IF(AND(COUNTIF($L21,"éliminée*"),C19&gt;C$5),1,0)+IF(AND(COUNTIF($L22,"éliminée*"),C19&gt;C$6),1,0)+IF(AND(COUNTIF($L23,"éliminée*"),C19&gt;C$7),1,0)))),"")</f>
        <v/>
      </c>
      <c r="D27" s="15" t="str">
        <f>IF('Vote et Résultats'!$N$6="Valide",IF(COUNTIF($L19:$L23,"gagnante*"),"",IF(COUNTIF($L19,"éliminée*"),"",D19-(IF(AND(COUNTIF($L20,"éliminée*"),D19&gt;D$4),1,0)+IF(AND(COUNTIF($L21,"éliminée*"),D19&gt;D$5),1,0)+IF(AND(COUNTIF($L22,"éliminée*"),D19&gt;D$6),1,0)+IF(AND(COUNTIF($L23,"éliminée*"),D19&gt;D$7),1,0)))),"")</f>
        <v/>
      </c>
      <c r="E27" s="15" t="str">
        <f>IF('Vote et Résultats'!$N$7="Valide",IF(COUNTIF($L19:$L23,"gagnante*"),"",IF(COUNTIF($L19,"éliminée*"),"",E19-(IF(AND(COUNTIF($L20,"éliminée*"),E19&gt;E$4),1,0)+IF(AND(COUNTIF($L21,"éliminée*"),E19&gt;E$5),1,0)+IF(AND(COUNTIF($L22,"éliminée*"),E19&gt;E$6),1,0)+IF(AND(COUNTIF($L23,"éliminée*"),E19&gt;E$7),1,0)))),"")</f>
        <v/>
      </c>
      <c r="F27" s="15" t="str">
        <f>IF('Vote et Résultats'!$N$8="Valide",IF(COUNTIF($L19:$L23,"gagnante*"),"",IF(COUNTIF($L19,"éliminée*"),"",F19-(IF(AND(COUNTIF($L20,"éliminée*"),F19&gt;F$4),1,0)+IF(AND(COUNTIF($L21,"éliminée*"),F19&gt;F$5),1,0)+IF(AND(COUNTIF($L22,"éliminée*"),F19&gt;F$6),1,0)+IF(AND(COUNTIF($L23,"éliminée*"),F19&gt;F$7),1,0)))),"")</f>
        <v/>
      </c>
      <c r="G27" s="15" t="str">
        <f>IF('Vote et Résultats'!$N$9="Valide",IF(COUNTIF($L19:$L23,"gagnante*"),"",IF(COUNTIF($L19,"éliminée*"),"",G19-(IF(AND(COUNTIF($L20,"éliminée*"),G19&gt;G$4),1,0)+IF(AND(COUNTIF($L21,"éliminée*"),G19&gt;G$5),1,0)+IF(AND(COUNTIF($L22,"éliminée*"),G19&gt;G$6),1,0)+IF(AND(COUNTIF($L23,"éliminée*"),G19&gt;G$7),1,0)))),"")</f>
        <v/>
      </c>
      <c r="H27" s="15" t="str">
        <f>IF('Vote et Résultats'!$N$10="Valide",IF(COUNTIF($L19:$L23,"gagnante*"),"",IF(COUNTIF($L19,"éliminée*"),"",H19-(IF(AND(COUNTIF($L20,"éliminée*"),H19&gt;H$4),1,0)+IF(AND(COUNTIF($L21,"éliminée*"),H19&gt;H$5),1,0)+IF(AND(COUNTIF($L22,"éliminée*"),H19&gt;H$6),1,0)+IF(AND(COUNTIF($L23,"éliminée*"),H19&gt;H$7),1,0)))),"")</f>
        <v/>
      </c>
      <c r="I27" s="15" t="str">
        <f>IF('Vote et Résultats'!$N$11="Valide",IF(COUNTIF($L19:$L23,"gagnante*"),"",IF(COUNTIF($L19,"éliminée*"),"",I19-(IF(AND(COUNTIF($L20,"éliminée*"),I19&gt;I$4),1,0)+IF(AND(COUNTIF($L21,"éliminée*"),I19&gt;I$5),1,0)+IF(AND(COUNTIF($L22,"éliminée*"),I19&gt;I$6),1,0)+IF(AND(COUNTIF($L23,"éliminée*"),I19&gt;I$7),1,0)))),"")</f>
        <v/>
      </c>
      <c r="J27" s="15" t="str">
        <f>IF('Vote et Résultats'!$N$12="Valide",IF(COUNTIF($L19:$L23,"gagnante*"),"",IF(COUNTIF($L19,"éliminée*"),"",J19-(IF(AND(COUNTIF($L20,"éliminée*"),J19&gt;J$4),1,0)+IF(AND(COUNTIF($L21,"éliminée*"),J19&gt;J$5),1,0)+IF(AND(COUNTIF($L22,"éliminée*"),J19&gt;J$6),1,0)+IF(AND(COUNTIF($L23,"éliminée*"),J19&gt;J$7),1,0)))),"")</f>
        <v/>
      </c>
      <c r="K27" s="15" t="str">
        <f>IF('Vote et Résultats'!$N$13="Valide",IF(COUNTIF($L19:$L23,"gagnante*"),"",IF(COUNTIF($L19,"éliminée*"),"",K19-(IF(AND(COUNTIF($L20,"éliminée*"),K19&gt;K$4),1,0)+IF(AND(COUNTIF($L21,"éliminée*"),K19&gt;K$5),1,0)+IF(AND(COUNTIF($L22,"éliminée*"),K19&gt;K$6),1,0)+IF(AND(COUNTIF($L23,"éliminée*"),K19&gt;K$7),1,0)))),"")</f>
        <v/>
      </c>
      <c r="L27" t="str">
        <f>IF(L19&lt;&gt;"",L19,IF(N27&gt;=6,"gagnante tour "&amp;M27,IF(OR(COUNTIF(N27:N31,"&gt;=6"),N27=MIN(N27:N31)),"éliminée tour "&amp;M27,"")))</f>
        <v>gagnante tour 1</v>
      </c>
      <c r="M27">
        <v>4</v>
      </c>
      <c r="N27" t="str">
        <f>IF(L19&lt;&gt;"","",COUNTIF(B27:K27,1))</f>
        <v/>
      </c>
      <c r="O27">
        <f>IF(N27="",O19,RANK(N27,N27:N31))</f>
        <v>1</v>
      </c>
    </row>
    <row r="28" spans="1:15" x14ac:dyDescent="0.25">
      <c r="A28" t="s">
        <v>0</v>
      </c>
      <c r="B28" s="15" t="str">
        <f>IF('Vote et Résultats'!$N$4="Valide",IF(COUNTIF($L19:$L23,"gagnante*"),"",IF(COUNTIF($L20,"éliminée*"),"",B20-(IF(AND(COUNTIF($L19,"éliminée*"),B20&gt;B$3),1,0)+IF(AND(COUNTIF($L21,"éliminée*"),B20&gt;B$5),1,0)+IF(AND(COUNTIF($L22,"éliminée*"),B20&gt;B$6),1,0)+IF(AND(COUNTIF($L23,"éliminée*"),B20&gt;B$7),1,0)))),"")</f>
        <v/>
      </c>
      <c r="C28" s="15" t="str">
        <f>IF('Vote et Résultats'!$N$5="Valide",IF(COUNTIF($L19:$L23,"gagnante*"),"",IF(COUNTIF($L20,"éliminée*"),"",C20-(IF(AND(COUNTIF($L19,"éliminée*"),C20&gt;C$3),1,0)+IF(AND(COUNTIF($L21,"éliminée*"),C20&gt;C$5),1,0)+IF(AND(COUNTIF($L22,"éliminée*"),C20&gt;C$6),1,0)+IF(AND(COUNTIF($L23,"éliminée*"),C20&gt;C$7),1,0)))),"")</f>
        <v/>
      </c>
      <c r="D28" s="15" t="str">
        <f>IF('Vote et Résultats'!$N$6="Valide",IF(COUNTIF($L19:$L23,"gagnante*"),"",IF(COUNTIF($L20,"éliminée*"),"",D20-(IF(AND(COUNTIF($L19,"éliminée*"),D20&gt;D$3),1,0)+IF(AND(COUNTIF($L21,"éliminée*"),D20&gt;D$5),1,0)+IF(AND(COUNTIF($L22,"éliminée*"),D20&gt;D$6),1,0)+IF(AND(COUNTIF($L23,"éliminée*"),D20&gt;D$7),1,0)))),"")</f>
        <v/>
      </c>
      <c r="E28" s="15" t="str">
        <f>IF('Vote et Résultats'!$N$7="Valide",IF(COUNTIF($L19:$L23,"gagnante*"),"",IF(COUNTIF($L20,"éliminée*"),"",E20-(IF(AND(COUNTIF($L19,"éliminée*"),E20&gt;E$3),1,0)+IF(AND(COUNTIF($L21,"éliminée*"),E20&gt;E$5),1,0)+IF(AND(COUNTIF($L22,"éliminée*"),E20&gt;E$6),1,0)+IF(AND(COUNTIF($L23,"éliminée*"),E20&gt;E$7),1,0)))),"")</f>
        <v/>
      </c>
      <c r="F28" s="15" t="str">
        <f>IF('Vote et Résultats'!$N$8="Valide",IF(COUNTIF($L19:$L23,"gagnante*"),"",IF(COUNTIF($L20,"éliminée*"),"",F20-(IF(AND(COUNTIF($L19,"éliminée*"),F20&gt;F$3),1,0)+IF(AND(COUNTIF($L21,"éliminée*"),F20&gt;F$5),1,0)+IF(AND(COUNTIF($L22,"éliminée*"),F20&gt;F$6),1,0)+IF(AND(COUNTIF($L23,"éliminée*"),F20&gt;F$7),1,0)))),"")</f>
        <v/>
      </c>
      <c r="G28" s="15" t="str">
        <f>IF('Vote et Résultats'!$N$9="Valide",IF(COUNTIF($L19:$L23,"gagnante*"),"",IF(COUNTIF($L20,"éliminée*"),"",G20-(IF(AND(COUNTIF($L19,"éliminée*"),G20&gt;G$3),1,0)+IF(AND(COUNTIF($L21,"éliminée*"),G20&gt;G$5),1,0)+IF(AND(COUNTIF($L22,"éliminée*"),G20&gt;G$6),1,0)+IF(AND(COUNTIF($L23,"éliminée*"),G20&gt;G$7),1,0)))),"")</f>
        <v/>
      </c>
      <c r="H28" s="15" t="str">
        <f>IF('Vote et Résultats'!$N$10="Valide",IF(COUNTIF($L19:$L23,"gagnante*"),"",IF(COUNTIF($L20,"éliminée*"),"",H20-(IF(AND(COUNTIF($L19,"éliminée*"),H20&gt;H$3),1,0)+IF(AND(COUNTIF($L21,"éliminée*"),H20&gt;H$5),1,0)+IF(AND(COUNTIF($L22,"éliminée*"),H20&gt;H$6),1,0)+IF(AND(COUNTIF($L23,"éliminée*"),H20&gt;H$7),1,0)))),"")</f>
        <v/>
      </c>
      <c r="I28" s="15" t="str">
        <f>IF('Vote et Résultats'!$N$11="Valide",IF(COUNTIF($L19:$L23,"gagnante*"),"",IF(COUNTIF($L20,"éliminée*"),"",I20-(IF(AND(COUNTIF($L19,"éliminée*"),I20&gt;I$3),1,0)+IF(AND(COUNTIF($L21,"éliminée*"),I20&gt;I$5),1,0)+IF(AND(COUNTIF($L22,"éliminée*"),I20&gt;I$6),1,0)+IF(AND(COUNTIF($L23,"éliminée*"),I20&gt;I$7),1,0)))),"")</f>
        <v/>
      </c>
      <c r="J28" s="15" t="str">
        <f>IF('Vote et Résultats'!$N$12="Valide",IF(COUNTIF($L19:$L23,"gagnante*"),"",IF(COUNTIF($L20,"éliminée*"),"",J20-(IF(AND(COUNTIF($L19,"éliminée*"),J20&gt;J$3),1,0)+IF(AND(COUNTIF($L21,"éliminée*"),J20&gt;J$5),1,0)+IF(AND(COUNTIF($L22,"éliminée*"),J20&gt;J$6),1,0)+IF(AND(COUNTIF($L23,"éliminée*"),J20&gt;J$7),1,0)))),"")</f>
        <v/>
      </c>
      <c r="K28" s="15" t="str">
        <f>IF('Vote et Résultats'!$N$13="Valide",IF(COUNTIF($L19:$L23,"gagnante*"),"",IF(COUNTIF($L20,"éliminée*"),"",K20-(IF(AND(COUNTIF($L19,"éliminée*"),K20&gt;K$3),1,0)+IF(AND(COUNTIF($L21,"éliminée*"),K20&gt;K$5),1,0)+IF(AND(COUNTIF($L22,"éliminée*"),K20&gt;K$6),1,0)+IF(AND(COUNTIF($L23,"éliminée*"),K20&gt;K$7),1,0)))),"")</f>
        <v/>
      </c>
      <c r="L28" t="str">
        <f>IF(L20&lt;&gt;"",L20,IF(N28&gt;=6,"gagnante tour "&amp;M28,IF(OR(COUNTIF(N27:N31,"&gt;=6"),N28=MIN(N27:N31)),"éliminée tour "&amp;M28,"")))</f>
        <v>éliminée tour 1</v>
      </c>
      <c r="M28">
        <v>4</v>
      </c>
      <c r="N28" t="str">
        <f t="shared" ref="N28:N31" si="3">IF(L20&lt;&gt;"","",COUNTIF(B28:K28,1))</f>
        <v/>
      </c>
      <c r="O28">
        <f>IF(N28="",O20,RANK(N28,N27:N31))</f>
        <v>2</v>
      </c>
    </row>
    <row r="29" spans="1:15" x14ac:dyDescent="0.25">
      <c r="A29" t="s">
        <v>1</v>
      </c>
      <c r="B29" s="15" t="str">
        <f>IF('Vote et Résultats'!$N$4="Valide",IF(COUNTIF($L19:$L23,"gagnante*"),"",IF(COUNTIF($L21,"éliminée*"),"",B21-(IF(AND(COUNTIF($L19,"éliminée*"),B21&gt;B$3),1,0)+IF(AND(COUNTIF($L20,"éliminée*"),B21&gt;B$4),1,0)+IF(AND(COUNTIF($L22,"éliminée*"),B21&gt;B$6),1,0)+IF(AND(COUNTIF($L23,"éliminée*"),B21&gt;B$7),1,0)))),"")</f>
        <v/>
      </c>
      <c r="C29" s="15" t="str">
        <f>IF('Vote et Résultats'!$N$5="Valide",IF(COUNTIF($L19:$L23,"gagnante*"),"",IF(COUNTIF($L21,"éliminée*"),"",C21-(IF(AND(COUNTIF($L19,"éliminée*"),C21&gt;C$3),1,0)+IF(AND(COUNTIF($L20,"éliminée*"),C21&gt;C$4),1,0)+IF(AND(COUNTIF($L22,"éliminée*"),C21&gt;C$6),1,0)+IF(AND(COUNTIF($L23,"éliminée*"),C21&gt;C$7),1,0)))),"")</f>
        <v/>
      </c>
      <c r="D29" s="15" t="str">
        <f>IF('Vote et Résultats'!$N$6="Valide",IF(COUNTIF($L19:$L23,"gagnante*"),"",IF(COUNTIF($L21,"éliminée*"),"",D21-(IF(AND(COUNTIF($L19,"éliminée*"),D21&gt;D$3),1,0)+IF(AND(COUNTIF($L20,"éliminée*"),D21&gt;D$4),1,0)+IF(AND(COUNTIF($L22,"éliminée*"),D21&gt;D$6),1,0)+IF(AND(COUNTIF($L23,"éliminée*"),D21&gt;D$7),1,0)))),"")</f>
        <v/>
      </c>
      <c r="E29" s="15" t="str">
        <f>IF('Vote et Résultats'!$N$7="Valide",IF(COUNTIF($L19:$L23,"gagnante*"),"",IF(COUNTIF($L21,"éliminée*"),"",E21-(IF(AND(COUNTIF($L19,"éliminée*"),E21&gt;E$3),1,0)+IF(AND(COUNTIF($L20,"éliminée*"),E21&gt;E$4),1,0)+IF(AND(COUNTIF($L22,"éliminée*"),E21&gt;E$6),1,0)+IF(AND(COUNTIF($L23,"éliminée*"),E21&gt;E$7),1,0)))),"")</f>
        <v/>
      </c>
      <c r="F29" s="15" t="str">
        <f>IF('Vote et Résultats'!$N$8="Valide",IF(COUNTIF($L19:$L23,"gagnante*"),"",IF(COUNTIF($L21,"éliminée*"),"",F21-(IF(AND(COUNTIF($L19,"éliminée*"),F21&gt;F$3),1,0)+IF(AND(COUNTIF($L20,"éliminée*"),F21&gt;F$4),1,0)+IF(AND(COUNTIF($L22,"éliminée*"),F21&gt;F$6),1,0)+IF(AND(COUNTIF($L23,"éliminée*"),F21&gt;F$7),1,0)))),"")</f>
        <v/>
      </c>
      <c r="G29" s="15" t="str">
        <f>IF('Vote et Résultats'!$N$9="Valide",IF(COUNTIF($L19:$L23,"gagnante*"),"",IF(COUNTIF($L21,"éliminée*"),"",G21-(IF(AND(COUNTIF($L19,"éliminée*"),G21&gt;G$3),1,0)+IF(AND(COUNTIF($L20,"éliminée*"),G21&gt;G$4),1,0)+IF(AND(COUNTIF($L22,"éliminée*"),G21&gt;G$6),1,0)+IF(AND(COUNTIF($L23,"éliminée*"),G21&gt;G$7),1,0)))),"")</f>
        <v/>
      </c>
      <c r="H29" s="15" t="str">
        <f>IF('Vote et Résultats'!$N$10="Valide",IF(COUNTIF($L19:$L23,"gagnante*"),"",IF(COUNTIF($L21,"éliminée*"),"",H21-(IF(AND(COUNTIF($L19,"éliminée*"),H21&gt;H$3),1,0)+IF(AND(COUNTIF($L20,"éliminée*"),H21&gt;H$4),1,0)+IF(AND(COUNTIF($L22,"éliminée*"),H21&gt;H$6),1,0)+IF(AND(COUNTIF($L23,"éliminée*"),H21&gt;H$7),1,0)))),"")</f>
        <v/>
      </c>
      <c r="I29" s="15" t="str">
        <f>IF('Vote et Résultats'!$N$11="Valide",IF(COUNTIF($L19:$L23,"gagnante*"),"",IF(COUNTIF($L21,"éliminée*"),"",I21-(IF(AND(COUNTIF($L19,"éliminée*"),I21&gt;I$3),1,0)+IF(AND(COUNTIF($L20,"éliminée*"),I21&gt;I$4),1,0)+IF(AND(COUNTIF($L22,"éliminée*"),I21&gt;I$6),1,0)+IF(AND(COUNTIF($L23,"éliminée*"),I21&gt;I$7),1,0)))),"")</f>
        <v/>
      </c>
      <c r="J29" s="15" t="str">
        <f>IF('Vote et Résultats'!$N$12="Valide",IF(COUNTIF($L19:$L23,"gagnante*"),"",IF(COUNTIF($L21,"éliminée*"),"",J21-(IF(AND(COUNTIF($L19,"éliminée*"),J21&gt;J$3),1,0)+IF(AND(COUNTIF($L20,"éliminée*"),J21&gt;J$4),1,0)+IF(AND(COUNTIF($L22,"éliminée*"),J21&gt;J$6),1,0)+IF(AND(COUNTIF($L23,"éliminée*"),J21&gt;J$7),1,0)))),"")</f>
        <v/>
      </c>
      <c r="K29" s="15" t="str">
        <f>IF('Vote et Résultats'!$N$13="Valide",IF(COUNTIF($L19:$L23,"gagnante*"),"",IF(COUNTIF($L21,"éliminée*"),"",K21-(IF(AND(COUNTIF($L19,"éliminée*"),K21&gt;K$3),1,0)+IF(AND(COUNTIF($L20,"éliminée*"),K21&gt;K$4),1,0)+IF(AND(COUNTIF($L22,"éliminée*"),K21&gt;K$6),1,0)+IF(AND(COUNTIF($L23,"éliminée*"),K21&gt;K$7),1,0)))),"")</f>
        <v/>
      </c>
      <c r="L29" t="str">
        <f>IF(L21&lt;&gt;"",L21,IF(N29&gt;=6,"gagnante tour "&amp;M29,IF(OR(COUNTIF(N27:N31,"&gt;=6"),N29=MIN(N27:N31)),"éliminée tour "&amp;M29,"")))</f>
        <v>éliminée tour 1</v>
      </c>
      <c r="M29">
        <v>4</v>
      </c>
      <c r="N29" t="str">
        <f t="shared" si="3"/>
        <v/>
      </c>
      <c r="O29">
        <f>IF(N29="",O21,RANK(N29,N27:N31))</f>
        <v>4</v>
      </c>
    </row>
    <row r="30" spans="1:15" x14ac:dyDescent="0.25">
      <c r="A30" t="s">
        <v>2</v>
      </c>
      <c r="B30" s="15" t="str">
        <f>IF('Vote et Résultats'!$N$4="Valide",IF(COUNTIF($L19:$L23,"gagnante*"),"",IF(COUNTIF($L22,"éliminée*"),"",B22-(IF(AND(COUNTIF($L19,"éliminée*"),B22&gt;B$3),1,0)+IF(AND(COUNTIF($L20,"éliminée*"),B22&gt;B$4),1,0)+IF(AND(COUNTIF($L21,"éliminée*"),B22&gt;B$5),1,0)+IF(AND(COUNTIF($L23,"éliminée*"),B22&gt;B$7),1,0)))),"")</f>
        <v/>
      </c>
      <c r="C30" s="15" t="str">
        <f>IF('Vote et Résultats'!$N$5="Valide",IF(COUNTIF($L19:$L23,"gagnante*"),"",IF(COUNTIF($L22,"éliminée*"),"",C22-(IF(AND(COUNTIF($L19,"éliminée*"),C22&gt;C$3),1,0)+IF(AND(COUNTIF($L20,"éliminée*"),C22&gt;C$4),1,0)+IF(AND(COUNTIF($L21,"éliminée*"),C22&gt;C$5),1,0)+IF(AND(COUNTIF($L23,"éliminée*"),C22&gt;C$7),1,0)))),"")</f>
        <v/>
      </c>
      <c r="D30" s="15" t="str">
        <f>IF('Vote et Résultats'!$N$6="Valide",IF(COUNTIF($L19:$L23,"gagnante*"),"",IF(COUNTIF($L22,"éliminée*"),"",D22-(IF(AND(COUNTIF($L19,"éliminée*"),D22&gt;D$3),1,0)+IF(AND(COUNTIF($L20,"éliminée*"),D22&gt;D$4),1,0)+IF(AND(COUNTIF($L21,"éliminée*"),D22&gt;D$5),1,0)+IF(AND(COUNTIF($L23,"éliminée*"),D22&gt;D$7),1,0)))),"")</f>
        <v/>
      </c>
      <c r="E30" s="15" t="str">
        <f>IF('Vote et Résultats'!$N$7="Valide",IF(COUNTIF($L19:$L23,"gagnante*"),"",IF(COUNTIF($L22,"éliminée*"),"",E22-(IF(AND(COUNTIF($L19,"éliminée*"),E22&gt;E$3),1,0)+IF(AND(COUNTIF($L20,"éliminée*"),E22&gt;E$4),1,0)+IF(AND(COUNTIF($L21,"éliminée*"),E22&gt;E$5),1,0)+IF(AND(COUNTIF($L23,"éliminée*"),E22&gt;E$7),1,0)))),"")</f>
        <v/>
      </c>
      <c r="F30" s="15" t="str">
        <f>IF('Vote et Résultats'!$N$8="Valide",IF(COUNTIF($L19:$L23,"gagnante*"),"",IF(COUNTIF($L22,"éliminée*"),"",F22-(IF(AND(COUNTIF($L19,"éliminée*"),F22&gt;F$3),1,0)+IF(AND(COUNTIF($L20,"éliminée*"),F22&gt;F$4),1,0)+IF(AND(COUNTIF($L21,"éliminée*"),F22&gt;F$5),1,0)+IF(AND(COUNTIF($L23,"éliminée*"),F22&gt;F$7),1,0)))),"")</f>
        <v/>
      </c>
      <c r="G30" s="15" t="str">
        <f>IF('Vote et Résultats'!$N$9="Valide",IF(COUNTIF($L19:$L23,"gagnante*"),"",IF(COUNTIF($L22,"éliminée*"),"",G22-(IF(AND(COUNTIF($L19,"éliminée*"),G22&gt;G$3),1,0)+IF(AND(COUNTIF($L20,"éliminée*"),G22&gt;G$4),1,0)+IF(AND(COUNTIF($L21,"éliminée*"),G22&gt;G$5),1,0)+IF(AND(COUNTIF($L23,"éliminée*"),G22&gt;G$7),1,0)))),"")</f>
        <v/>
      </c>
      <c r="H30" s="15" t="str">
        <f>IF('Vote et Résultats'!$N$10="Valide",IF(COUNTIF($L19:$L23,"gagnante*"),"",IF(COUNTIF($L22,"éliminée*"),"",H22-(IF(AND(COUNTIF($L19,"éliminée*"),H22&gt;H$3),1,0)+IF(AND(COUNTIF($L20,"éliminée*"),H22&gt;H$4),1,0)+IF(AND(COUNTIF($L21,"éliminée*"),H22&gt;H$5),1,0)+IF(AND(COUNTIF($L23,"éliminée*"),H22&gt;H$7),1,0)))),"")</f>
        <v/>
      </c>
      <c r="I30" s="15" t="str">
        <f>IF('Vote et Résultats'!$N$11="Valide",IF(COUNTIF($L19:$L23,"gagnante*"),"",IF(COUNTIF($L22,"éliminée*"),"",I22-(IF(AND(COUNTIF($L19,"éliminée*"),I22&gt;I$3),1,0)+IF(AND(COUNTIF($L20,"éliminée*"),I22&gt;I$4),1,0)+IF(AND(COUNTIF($L21,"éliminée*"),I22&gt;I$5),1,0)+IF(AND(COUNTIF($L23,"éliminée*"),I22&gt;I$7),1,0)))),"")</f>
        <v/>
      </c>
      <c r="J30" s="15" t="str">
        <f>IF('Vote et Résultats'!$N$12="Valide",IF(COUNTIF($L19:$L23,"gagnante*"),"",IF(COUNTIF($L22,"éliminée*"),"",J22-(IF(AND(COUNTIF($L19,"éliminée*"),J22&gt;J$3),1,0)+IF(AND(COUNTIF($L20,"éliminée*"),J22&gt;J$4),1,0)+IF(AND(COUNTIF($L21,"éliminée*"),J22&gt;J$5),1,0)+IF(AND(COUNTIF($L23,"éliminée*"),J22&gt;J$7),1,0)))),"")</f>
        <v/>
      </c>
      <c r="K30" s="15" t="str">
        <f>IF('Vote et Résultats'!$N$13="Valide",IF(COUNTIF($L19:$L23,"gagnante*"),"",IF(COUNTIF($L22,"éliminée*"),"",K22-(IF(AND(COUNTIF($L19,"éliminée*"),K22&gt;K$3),1,0)+IF(AND(COUNTIF($L20,"éliminée*"),K22&gt;K$4),1,0)+IF(AND(COUNTIF($L21,"éliminée*"),K22&gt;K$5),1,0)+IF(AND(COUNTIF($L23,"éliminée*"),K22&gt;K$7),1,0)))),"")</f>
        <v/>
      </c>
      <c r="L30" t="str">
        <f>IF(L22&lt;&gt;"",L22,IF(N30&gt;=6,"gagnante tour "&amp;M30,IF(OR(COUNTIF(N27:N31,"&gt;=6"),N30=MIN(N27:N31)),"éliminée tour "&amp;M30,"")))</f>
        <v>éliminée tour 1</v>
      </c>
      <c r="M30">
        <v>4</v>
      </c>
      <c r="N30" t="str">
        <f t="shared" si="3"/>
        <v/>
      </c>
      <c r="O30">
        <f>IF(N30="",O22,RANK(N30,N27:N31))</f>
        <v>3</v>
      </c>
    </row>
    <row r="31" spans="1:15" x14ac:dyDescent="0.25">
      <c r="A31" t="s">
        <v>3</v>
      </c>
      <c r="B31" s="15" t="str">
        <f>IF('Vote et Résultats'!$N$4="Valide",IF(COUNTIF($L19:$L23,"gagnante*"),"",IF(COUNTIF($L23,"éliminée*"),"",B23-(IF(AND(COUNTIF($L19,"éliminée*"),B23&gt;B$3),1,0)+IF(AND(COUNTIF($L20,"éliminée*"),B23&gt;B$4),1,0)+IF(AND(COUNTIF($L21,"éliminée*"),B23&gt;B$5),1,0)+IF(AND(COUNTIF($L22,"éliminée*"),B23&gt;B$6),1,0)))),"")</f>
        <v/>
      </c>
      <c r="C31" s="15" t="str">
        <f>IF('Vote et Résultats'!$N$5="Valide",IF(COUNTIF($L19:$L23,"gagnante*"),"",IF(COUNTIF($L23,"éliminée*"),"",C23-(IF(AND(COUNTIF($L19,"éliminée*"),C23&gt;C$3),1,0)+IF(AND(COUNTIF($L20,"éliminée*"),C23&gt;C$4),1,0)+IF(AND(COUNTIF($L21,"éliminée*"),C23&gt;C$5),1,0)+IF(AND(COUNTIF($L22,"éliminée*"),C23&gt;C$6),1,0)))),"")</f>
        <v/>
      </c>
      <c r="D31" s="15" t="str">
        <f>IF('Vote et Résultats'!$N$6="Valide",IF(COUNTIF($L19:$L23,"gagnante*"),"",IF(COUNTIF($L23,"éliminée*"),"",D23-(IF(AND(COUNTIF($L19,"éliminée*"),D23&gt;D$3),1,0)+IF(AND(COUNTIF($L20,"éliminée*"),D23&gt;D$4),1,0)+IF(AND(COUNTIF($L21,"éliminée*"),D23&gt;D$5),1,0)+IF(AND(COUNTIF($L22,"éliminée*"),D23&gt;D$6),1,0)))),"")</f>
        <v/>
      </c>
      <c r="E31" s="15" t="str">
        <f>IF('Vote et Résultats'!$N$7="Valide",IF(COUNTIF($L19:$L23,"gagnante*"),"",IF(COUNTIF($L23,"éliminée*"),"",E23-(IF(AND(COUNTIF($L19,"éliminée*"),E23&gt;E$3),1,0)+IF(AND(COUNTIF($L20,"éliminée*"),E23&gt;E$4),1,0)+IF(AND(COUNTIF($L21,"éliminée*"),E23&gt;E$5),1,0)+IF(AND(COUNTIF($L22,"éliminée*"),E23&gt;E$6),1,0)))),"")</f>
        <v/>
      </c>
      <c r="F31" s="15" t="str">
        <f>IF('Vote et Résultats'!$N$8="Valide",IF(COUNTIF($L19:$L23,"gagnante*"),"",IF(COUNTIF($L23,"éliminée*"),"",F23-(IF(AND(COUNTIF($L19,"éliminée*"),F23&gt;F$3),1,0)+IF(AND(COUNTIF($L20,"éliminée*"),F23&gt;F$4),1,0)+IF(AND(COUNTIF($L21,"éliminée*"),F23&gt;F$5),1,0)+IF(AND(COUNTIF($L22,"éliminée*"),F23&gt;F$6),1,0)))),"")</f>
        <v/>
      </c>
      <c r="G31" s="15" t="str">
        <f>IF('Vote et Résultats'!$N$9="Valide",IF(COUNTIF($L19:$L23,"gagnante*"),"",IF(COUNTIF($L23,"éliminée*"),"",G23-(IF(AND(COUNTIF($L19,"éliminée*"),G23&gt;G$3),1,0)+IF(AND(COUNTIF($L20,"éliminée*"),G23&gt;G$4),1,0)+IF(AND(COUNTIF($L21,"éliminée*"),G23&gt;G$5),1,0)+IF(AND(COUNTIF($L22,"éliminée*"),G23&gt;G$6),1,0)))),"")</f>
        <v/>
      </c>
      <c r="H31" s="15" t="str">
        <f>IF('Vote et Résultats'!$N$10="Valide",IF(COUNTIF($L19:$L23,"gagnante*"),"",IF(COUNTIF($L23,"éliminée*"),"",H23-(IF(AND(COUNTIF($L19,"éliminée*"),H23&gt;H$3),1,0)+IF(AND(COUNTIF($L20,"éliminée*"),H23&gt;H$4),1,0)+IF(AND(COUNTIF($L21,"éliminée*"),H23&gt;H$5),1,0)+IF(AND(COUNTIF($L22,"éliminée*"),H23&gt;H$6),1,0)))),"")</f>
        <v/>
      </c>
      <c r="I31" s="15" t="str">
        <f>IF('Vote et Résultats'!$N$11="Valide",IF(COUNTIF($L19:$L23,"gagnante*"),"",IF(COUNTIF($L23,"éliminée*"),"",I23-(IF(AND(COUNTIF($L19,"éliminée*"),I23&gt;I$3),1,0)+IF(AND(COUNTIF($L20,"éliminée*"),I23&gt;I$4),1,0)+IF(AND(COUNTIF($L21,"éliminée*"),I23&gt;I$5),1,0)+IF(AND(COUNTIF($L22,"éliminée*"),I23&gt;I$6),1,0)))),"")</f>
        <v/>
      </c>
      <c r="J31" s="15" t="str">
        <f>IF('Vote et Résultats'!$N$12="Valide",IF(COUNTIF($L19:$L23,"gagnante*"),"",IF(COUNTIF($L23,"éliminée*"),"",J23-(IF(AND(COUNTIF($L19,"éliminée*"),J23&gt;J$3),1,0)+IF(AND(COUNTIF($L20,"éliminée*"),J23&gt;J$4),1,0)+IF(AND(COUNTIF($L21,"éliminée*"),J23&gt;J$5),1,0)+IF(AND(COUNTIF($L22,"éliminée*"),J23&gt;J$6),1,0)))),"")</f>
        <v/>
      </c>
      <c r="K31" s="15" t="str">
        <f>IF('Vote et Résultats'!$N$13="Valide",IF(COUNTIF($L19:$L23,"gagnante*"),"",IF(COUNTIF($L23,"éliminée*"),"",K23-(IF(AND(COUNTIF($L19,"éliminée*"),K23&gt;K$3),1,0)+IF(AND(COUNTIF($L20,"éliminée*"),K23&gt;K$4),1,0)+IF(AND(COUNTIF($L21,"éliminée*"),K23&gt;K$5),1,0)+IF(AND(COUNTIF($L22,"éliminée*"),K23&gt;K$6),1,0)))),"")</f>
        <v/>
      </c>
      <c r="L31" t="str">
        <f>IF(L23&lt;&gt;"",L23,IF(N31&gt;=6,"gagnante tour "&amp;M31,IF(OR(COUNTIF(N27:N31,"&gt;=6"),N31=MIN(N27:N31)),"éliminée tour "&amp;M31,"")))</f>
        <v>éliminée tour 1</v>
      </c>
      <c r="M31">
        <v>4</v>
      </c>
      <c r="N31" t="str">
        <f t="shared" si="3"/>
        <v/>
      </c>
      <c r="O31">
        <f>IF(N31="",O23,RANK(N31,N27:N31))</f>
        <v>4</v>
      </c>
    </row>
    <row r="33" spans="1:15" x14ac:dyDescent="0.25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</row>
    <row r="34" spans="1:15" x14ac:dyDescent="0.25">
      <c r="B34" t="str">
        <f>IF(COUNTIF(L27:L31,"gagnante*"),"","votant·e 1")</f>
        <v/>
      </c>
      <c r="C34" t="str">
        <f>IF(COUNTIF(L27:L31,"gagnante*"),"","votant·e 2")</f>
        <v/>
      </c>
      <c r="D34" t="str">
        <f>IF(COUNTIF(L27:L31,"gagnante*"),"","votant·e 3")</f>
        <v/>
      </c>
      <c r="E34" t="str">
        <f>IF(COUNTIF(L27:L31,"gagnante*"),"","votant·e 4")</f>
        <v/>
      </c>
      <c r="F34" t="str">
        <f>IF(COUNTIF(L27:L31,"gagnante*"),"","votant·e 5")</f>
        <v/>
      </c>
      <c r="G34" t="str">
        <f>IF(COUNTIF(L27:L31,"gagnante*"),"","votant·e 6")</f>
        <v/>
      </c>
      <c r="H34" t="str">
        <f>IF(COUNTIF(L27:L31,"gagnante*"),"","votant·e 7")</f>
        <v/>
      </c>
      <c r="I34" t="str">
        <f>IF(COUNTIF(L27:L31,"gagnante*"),"","votant·e 8")</f>
        <v/>
      </c>
      <c r="J34" t="str">
        <f>IF(COUNTIF(L27:L31,"gagnante*"),"","votant·e 9")</f>
        <v/>
      </c>
      <c r="K34" t="str">
        <f>IF(COUNTIF(L27:L31,"gagnante*"),"","votant·e 10")</f>
        <v/>
      </c>
      <c r="L34" t="s">
        <v>63</v>
      </c>
      <c r="M34" t="s">
        <v>77</v>
      </c>
      <c r="N34" t="s">
        <v>78</v>
      </c>
      <c r="O34" t="s">
        <v>76</v>
      </c>
    </row>
    <row r="35" spans="1:15" x14ac:dyDescent="0.25">
      <c r="A35" t="s">
        <v>34</v>
      </c>
      <c r="B35" s="15" t="str">
        <f>IF('Vote et Résultats'!$N$4="Valide",IF(COUNTIF($L27:$L31,"gagnante*"),"",IF(COUNTIF($L27,"éliminée*"),"",B27-(IF(AND(COUNTIF($L28,"éliminée*"),B27&gt;B$4),1,0)+IF(AND(COUNTIF($L29,"éliminée*"),B27&gt;B$5),1,0)+IF(AND(COUNTIF($L30,"éliminée*"),B27&gt;B$6),1,0)+IF(AND(COUNTIF($L31,"éliminée*"),B27&gt;B$7),1,0)))),"")</f>
        <v/>
      </c>
      <c r="C35" s="15" t="str">
        <f>IF('Vote et Résultats'!$N$5="Valide",IF(COUNTIF($L27:$L31,"gagnante*"),"",IF(COUNTIF($L27,"éliminée*"),"",C27-(IF(AND(COUNTIF($L28,"éliminée*"),C27&gt;C$4),1,0)+IF(AND(COUNTIF($L29,"éliminée*"),C27&gt;C$5),1,0)+IF(AND(COUNTIF($L30,"éliminée*"),C27&gt;C$6),1,0)+IF(AND(COUNTIF($L31,"éliminée*"),C27&gt;C$7),1,0)))),"")</f>
        <v/>
      </c>
      <c r="D35" s="15" t="str">
        <f>IF('Vote et Résultats'!$N$6="Valide",IF(COUNTIF($L27:$L31,"gagnante*"),"",IF(COUNTIF($L27,"éliminée*"),"",D27-(IF(AND(COUNTIF($L28,"éliminée*"),D27&gt;D$4),1,0)+IF(AND(COUNTIF($L29,"éliminée*"),D27&gt;D$5),1,0)+IF(AND(COUNTIF($L30,"éliminée*"),D27&gt;D$6),1,0)+IF(AND(COUNTIF($L31,"éliminée*"),D27&gt;D$7),1,0)))),"")</f>
        <v/>
      </c>
      <c r="E35" s="15" t="str">
        <f>IF('Vote et Résultats'!$N$7="Valide",IF(COUNTIF($L27:$L31,"gagnante*"),"",IF(COUNTIF($L27,"éliminée*"),"",E27-(IF(AND(COUNTIF($L28,"éliminée*"),E27&gt;E$4),1,0)+IF(AND(COUNTIF($L29,"éliminée*"),E27&gt;E$5),1,0)+IF(AND(COUNTIF($L30,"éliminée*"),E27&gt;E$6),1,0)+IF(AND(COUNTIF($L31,"éliminée*"),E27&gt;E$7),1,0)))),"")</f>
        <v/>
      </c>
      <c r="F35" s="15" t="str">
        <f>IF('Vote et Résultats'!$N$8="Valide",IF(COUNTIF($L27:$L31,"gagnante*"),"",IF(COUNTIF($L27,"éliminée*"),"",F27-(IF(AND(COUNTIF($L28,"éliminée*"),F27&gt;F$4),1,0)+IF(AND(COUNTIF($L29,"éliminée*"),F27&gt;F$5),1,0)+IF(AND(COUNTIF($L30,"éliminée*"),F27&gt;F$6),1,0)+IF(AND(COUNTIF($L31,"éliminée*"),F27&gt;F$7),1,0)))),"")</f>
        <v/>
      </c>
      <c r="G35" s="15" t="str">
        <f>IF('Vote et Résultats'!$N$9="Valide",IF(COUNTIF($L27:$L31,"gagnante*"),"",IF(COUNTIF($L27,"éliminée*"),"",G27-(IF(AND(COUNTIF($L28,"éliminée*"),G27&gt;G$4),1,0)+IF(AND(COUNTIF($L29,"éliminée*"),G27&gt;G$5),1,0)+IF(AND(COUNTIF($L30,"éliminée*"),G27&gt;G$6),1,0)+IF(AND(COUNTIF($L31,"éliminée*"),G27&gt;G$7),1,0)))),"")</f>
        <v/>
      </c>
      <c r="H35" s="15" t="str">
        <f>IF('Vote et Résultats'!$N$10="Valide",IF(COUNTIF($L27:$L31,"gagnante*"),"",IF(COUNTIF($L27,"éliminée*"),"",H27-(IF(AND(COUNTIF($L28,"éliminée*"),H27&gt;H$4),1,0)+IF(AND(COUNTIF($L29,"éliminée*"),H27&gt;H$5),1,0)+IF(AND(COUNTIF($L30,"éliminée*"),H27&gt;H$6),1,0)+IF(AND(COUNTIF($L31,"éliminée*"),H27&gt;H$7),1,0)))),"")</f>
        <v/>
      </c>
      <c r="I35" s="15" t="str">
        <f>IF('Vote et Résultats'!$N$11="Valide",IF(COUNTIF($L27:$L31,"gagnante*"),"",IF(COUNTIF($L27,"éliminée*"),"",I27-(IF(AND(COUNTIF($L28,"éliminée*"),I27&gt;I$4),1,0)+IF(AND(COUNTIF($L29,"éliminée*"),I27&gt;I$5),1,0)+IF(AND(COUNTIF($L30,"éliminée*"),I27&gt;I$6),1,0)+IF(AND(COUNTIF($L31,"éliminée*"),I27&gt;I$7),1,0)))),"")</f>
        <v/>
      </c>
      <c r="J35" s="15" t="str">
        <f>IF('Vote et Résultats'!$N$12="Valide",IF(COUNTIF($L27:$L31,"gagnante*"),"",IF(COUNTIF($L27,"éliminée*"),"",J27-(IF(AND(COUNTIF($L28,"éliminée*"),J27&gt;J$4),1,0)+IF(AND(COUNTIF($L29,"éliminée*"),J27&gt;J$5),1,0)+IF(AND(COUNTIF($L30,"éliminée*"),J27&gt;J$6),1,0)+IF(AND(COUNTIF($L31,"éliminée*"),J27&gt;J$7),1,0)))),"")</f>
        <v/>
      </c>
      <c r="K35" s="15" t="str">
        <f>IF('Vote et Résultats'!$N$13="Valide",IF(COUNTIF($L27:$L31,"gagnante*"),"",IF(COUNTIF($L27,"éliminée*"),"",K27-(IF(AND(COUNTIF($L28,"éliminée*"),K27&gt;K$4),1,0)+IF(AND(COUNTIF($L29,"éliminée*"),K27&gt;K$5),1,0)+IF(AND(COUNTIF($L30,"éliminée*"),K27&gt;K$6),1,0)+IF(AND(COUNTIF($L31,"éliminée*"),K27&gt;K$7),1,0)))),"")</f>
        <v/>
      </c>
      <c r="L35" t="str">
        <f>IF(L27&lt;&gt;"",L27,IF(N35&gt;=6,"gagnante tour "&amp;M35,IF(OR(COUNTIF(N35:N39,"&gt;=6"),O35=MAX(O35:O39)),"éliminée tour "&amp;M35,"")))</f>
        <v>gagnante tour 1</v>
      </c>
      <c r="M35">
        <v>5</v>
      </c>
      <c r="N35" t="str">
        <f>IF(L27&lt;&gt;"","",COUNTIF(B35:K35,1))</f>
        <v/>
      </c>
      <c r="O35">
        <f>IF(N35="",O27,RANK(N35,N35:N39))</f>
        <v>1</v>
      </c>
    </row>
    <row r="36" spans="1:15" x14ac:dyDescent="0.25">
      <c r="A36" t="s">
        <v>0</v>
      </c>
      <c r="B36" s="15" t="str">
        <f>IF('Vote et Résultats'!$N$4="Valide",IF(COUNTIF($L27:$L31,"gagnante*"),"",IF(COUNTIF($L28,"éliminée*"),"",B28-(IF(AND(COUNTIF($L27,"éliminée*"),B28&gt;B$3),1,0)+IF(AND(COUNTIF($L29,"éliminée*"),B28&gt;B$5),1,0)+IF(AND(COUNTIF($L30,"éliminée*"),B28&gt;B$6),1,0)+IF(AND(COUNTIF($L31,"éliminée*"),B28&gt;B$7),1,0)))),"")</f>
        <v/>
      </c>
      <c r="C36" s="15" t="str">
        <f>IF('Vote et Résultats'!$N$5="Valide",IF(COUNTIF($L27:$L31,"gagnante*"),"",IF(COUNTIF($L28,"éliminée*"),"",C28-(IF(AND(COUNTIF($L27,"éliminée*"),C28&gt;C$3),1,0)+IF(AND(COUNTIF($L29,"éliminée*"),C28&gt;C$5),1,0)+IF(AND(COUNTIF($L30,"éliminée*"),C28&gt;C$6),1,0)+IF(AND(COUNTIF($L31,"éliminée*"),C28&gt;C$7),1,0)))),"")</f>
        <v/>
      </c>
      <c r="D36" s="15" t="str">
        <f>IF('Vote et Résultats'!$N$6="Valide",IF(COUNTIF($L27:$L31,"gagnante*"),"",IF(COUNTIF($L28,"éliminée*"),"",D28-(IF(AND(COUNTIF($L27,"éliminée*"),D28&gt;D$3),1,0)+IF(AND(COUNTIF($L29,"éliminée*"),D28&gt;D$5),1,0)+IF(AND(COUNTIF($L30,"éliminée*"),D28&gt;D$6),1,0)+IF(AND(COUNTIF($L31,"éliminée*"),D28&gt;D$7),1,0)))),"")</f>
        <v/>
      </c>
      <c r="E36" s="15" t="str">
        <f>IF('Vote et Résultats'!$N$7="Valide",IF(COUNTIF($L27:$L31,"gagnante*"),"",IF(COUNTIF($L28,"éliminée*"),"",E28-(IF(AND(COUNTIF($L27,"éliminée*"),E28&gt;E$3),1,0)+IF(AND(COUNTIF($L29,"éliminée*"),E28&gt;E$5),1,0)+IF(AND(COUNTIF($L30,"éliminée*"),E28&gt;E$6),1,0)+IF(AND(COUNTIF($L31,"éliminée*"),E28&gt;E$7),1,0)))),"")</f>
        <v/>
      </c>
      <c r="F36" s="15" t="str">
        <f>IF('Vote et Résultats'!$N$8="Valide",IF(COUNTIF($L27:$L31,"gagnante*"),"",IF(COUNTIF($L28,"éliminée*"),"",F28-(IF(AND(COUNTIF($L27,"éliminée*"),F28&gt;F$3),1,0)+IF(AND(COUNTIF($L29,"éliminée*"),F28&gt;F$5),1,0)+IF(AND(COUNTIF($L30,"éliminée*"),F28&gt;F$6),1,0)+IF(AND(COUNTIF($L31,"éliminée*"),F28&gt;F$7),1,0)))),"")</f>
        <v/>
      </c>
      <c r="G36" s="15" t="str">
        <f>IF('Vote et Résultats'!$N$9="Valide",IF(COUNTIF($L27:$L31,"gagnante*"),"",IF(COUNTIF($L28,"éliminée*"),"",G28-(IF(AND(COUNTIF($L27,"éliminée*"),G28&gt;G$3),1,0)+IF(AND(COUNTIF($L29,"éliminée*"),G28&gt;G$5),1,0)+IF(AND(COUNTIF($L30,"éliminée*"),G28&gt;G$6),1,0)+IF(AND(COUNTIF($L31,"éliminée*"),G28&gt;G$7),1,0)))),"")</f>
        <v/>
      </c>
      <c r="H36" s="15" t="str">
        <f>IF('Vote et Résultats'!$N$10="Valide",IF(COUNTIF($L27:$L31,"gagnante*"),"",IF(COUNTIF($L28,"éliminée*"),"",H28-(IF(AND(COUNTIF($L27,"éliminée*"),H28&gt;H$3),1,0)+IF(AND(COUNTIF($L29,"éliminée*"),H28&gt;H$5),1,0)+IF(AND(COUNTIF($L30,"éliminée*"),H28&gt;H$6),1,0)+IF(AND(COUNTIF($L31,"éliminée*"),H28&gt;H$7),1,0)))),"")</f>
        <v/>
      </c>
      <c r="I36" s="15" t="str">
        <f>IF('Vote et Résultats'!$N$11="Valide",IF(COUNTIF($L27:$L31,"gagnante*"),"",IF(COUNTIF($L28,"éliminée*"),"",I28-(IF(AND(COUNTIF($L27,"éliminée*"),I28&gt;I$3),1,0)+IF(AND(COUNTIF($L29,"éliminée*"),I28&gt;I$5),1,0)+IF(AND(COUNTIF($L30,"éliminée*"),I28&gt;I$6),1,0)+IF(AND(COUNTIF($L31,"éliminée*"),I28&gt;I$7),1,0)))),"")</f>
        <v/>
      </c>
      <c r="J36" s="15" t="str">
        <f>IF('Vote et Résultats'!$N$12="Valide",IF(COUNTIF($L27:$L31,"gagnante*"),"",IF(COUNTIF($L28,"éliminée*"),"",J28-(IF(AND(COUNTIF($L27,"éliminée*"),J28&gt;J$3),1,0)+IF(AND(COUNTIF($L29,"éliminée*"),J28&gt;J$5),1,0)+IF(AND(COUNTIF($L30,"éliminée*"),J28&gt;J$6),1,0)+IF(AND(COUNTIF($L31,"éliminée*"),J28&gt;J$7),1,0)))),"")</f>
        <v/>
      </c>
      <c r="K36" s="15" t="str">
        <f>IF('Vote et Résultats'!$N$13="Valide",IF(COUNTIF($L27:$L31,"gagnante*"),"",IF(COUNTIF($L28,"éliminée*"),"",K28-(IF(AND(COUNTIF($L27,"éliminée*"),K28&gt;K$3),1,0)+IF(AND(COUNTIF($L29,"éliminée*"),K28&gt;K$5),1,0)+IF(AND(COUNTIF($L30,"éliminée*"),K28&gt;K$6),1,0)+IF(AND(COUNTIF($L31,"éliminée*"),K28&gt;K$7),1,0)))),"")</f>
        <v/>
      </c>
      <c r="L36" t="str">
        <f>IF(L28&lt;&gt;"",L28,IF(N36&gt;=6,"gagnante tour "&amp;M36,IF(OR(COUNTIF(N35:N39,"&gt;=6"),O36=MAX(O35:O39)),"éliminée tour "&amp;M36,"")))</f>
        <v>éliminée tour 1</v>
      </c>
      <c r="M36">
        <v>5</v>
      </c>
      <c r="N36" t="str">
        <f t="shared" ref="N36:N39" si="4">IF(L28&lt;&gt;"","",COUNTIF(B36:K36,1))</f>
        <v/>
      </c>
      <c r="O36">
        <f>IF(N36="",O28,RANK(N36,N35:N39))</f>
        <v>2</v>
      </c>
    </row>
    <row r="37" spans="1:15" x14ac:dyDescent="0.25">
      <c r="A37" t="s">
        <v>1</v>
      </c>
      <c r="B37" s="15" t="str">
        <f>IF('Vote et Résultats'!$N$4="Valide",IF(COUNTIF($L27:$L31,"gagnante*"),"",IF(COUNTIF($L29,"éliminée*"),"",B29-(IF(AND(COUNTIF($L27,"éliminée*"),B29&gt;B$3),1,0)+IF(AND(COUNTIF($L28,"éliminée*"),B29&gt;B$4),1,0)+IF(AND(COUNTIF($L30,"éliminée*"),B29&gt;B$6),1,0)+IF(AND(COUNTIF($L31,"éliminée*"),B29&gt;B$7),1,0)))),"")</f>
        <v/>
      </c>
      <c r="C37" s="15" t="str">
        <f>IF('Vote et Résultats'!$N$5="Valide",IF(COUNTIF($L27:$L31,"gagnante*"),"",IF(COUNTIF($L29,"éliminée*"),"",C29-(IF(AND(COUNTIF($L27,"éliminée*"),C29&gt;C$3),1,0)+IF(AND(COUNTIF($L28,"éliminée*"),C29&gt;C$4),1,0)+IF(AND(COUNTIF($L30,"éliminée*"),C29&gt;C$6),1,0)+IF(AND(COUNTIF($L31,"éliminée*"),C29&gt;C$7),1,0)))),"")</f>
        <v/>
      </c>
      <c r="D37" s="15" t="str">
        <f>IF('Vote et Résultats'!$N$6="Valide",IF(COUNTIF($L27:$L31,"gagnante*"),"",IF(COUNTIF($L29,"éliminée*"),"",D29-(IF(AND(COUNTIF($L27,"éliminée*"),D29&gt;D$3),1,0)+IF(AND(COUNTIF($L28,"éliminée*"),D29&gt;D$4),1,0)+IF(AND(COUNTIF($L30,"éliminée*"),D29&gt;D$6),1,0)+IF(AND(COUNTIF($L31,"éliminée*"),D29&gt;D$7),1,0)))),"")</f>
        <v/>
      </c>
      <c r="E37" s="15" t="str">
        <f>IF('Vote et Résultats'!$N$7="Valide",IF(COUNTIF($L27:$L31,"gagnante*"),"",IF(COUNTIF($L29,"éliminée*"),"",E29-(IF(AND(COUNTIF($L27,"éliminée*"),E29&gt;E$3),1,0)+IF(AND(COUNTIF($L28,"éliminée*"),E29&gt;E$4),1,0)+IF(AND(COUNTIF($L30,"éliminée*"),E29&gt;E$6),1,0)+IF(AND(COUNTIF($L31,"éliminée*"),E29&gt;E$7),1,0)))),"")</f>
        <v/>
      </c>
      <c r="F37" s="15" t="str">
        <f>IF('Vote et Résultats'!$N$8="Valide",IF(COUNTIF($L27:$L31,"gagnante*"),"",IF(COUNTIF($L29,"éliminée*"),"",F29-(IF(AND(COUNTIF($L27,"éliminée*"),F29&gt;F$3),1,0)+IF(AND(COUNTIF($L28,"éliminée*"),F29&gt;F$4),1,0)+IF(AND(COUNTIF($L30,"éliminée*"),F29&gt;F$6),1,0)+IF(AND(COUNTIF($L31,"éliminée*"),F29&gt;F$7),1,0)))),"")</f>
        <v/>
      </c>
      <c r="G37" s="15" t="str">
        <f>IF('Vote et Résultats'!$N$9="Valide",IF(COUNTIF($L27:$L31,"gagnante*"),"",IF(COUNTIF($L29,"éliminée*"),"",G29-(IF(AND(COUNTIF($L27,"éliminée*"),G29&gt;G$3),1,0)+IF(AND(COUNTIF($L28,"éliminée*"),G29&gt;G$4),1,0)+IF(AND(COUNTIF($L30,"éliminée*"),G29&gt;G$6),1,0)+IF(AND(COUNTIF($L31,"éliminée*"),G29&gt;G$7),1,0)))),"")</f>
        <v/>
      </c>
      <c r="H37" s="15" t="str">
        <f>IF('Vote et Résultats'!$N$10="Valide",IF(COUNTIF($L27:$L31,"gagnante*"),"",IF(COUNTIF($L29,"éliminée*"),"",H29-(IF(AND(COUNTIF($L27,"éliminée*"),H29&gt;H$3),1,0)+IF(AND(COUNTIF($L28,"éliminée*"),H29&gt;H$4),1,0)+IF(AND(COUNTIF($L30,"éliminée*"),H29&gt;H$6),1,0)+IF(AND(COUNTIF($L31,"éliminée*"),H29&gt;H$7),1,0)))),"")</f>
        <v/>
      </c>
      <c r="I37" s="15" t="str">
        <f>IF('Vote et Résultats'!$N$11="Valide",IF(COUNTIF($L27:$L31,"gagnante*"),"",IF(COUNTIF($L29,"éliminée*"),"",I29-(IF(AND(COUNTIF($L27,"éliminée*"),I29&gt;I$3),1,0)+IF(AND(COUNTIF($L28,"éliminée*"),I29&gt;I$4),1,0)+IF(AND(COUNTIF($L30,"éliminée*"),I29&gt;I$6),1,0)+IF(AND(COUNTIF($L31,"éliminée*"),I29&gt;I$7),1,0)))),"")</f>
        <v/>
      </c>
      <c r="J37" s="15" t="str">
        <f>IF('Vote et Résultats'!$N$12="Valide",IF(COUNTIF($L27:$L31,"gagnante*"),"",IF(COUNTIF($L29,"éliminée*"),"",J29-(IF(AND(COUNTIF($L27,"éliminée*"),J29&gt;J$3),1,0)+IF(AND(COUNTIF($L28,"éliminée*"),J29&gt;J$4),1,0)+IF(AND(COUNTIF($L30,"éliminée*"),J29&gt;J$6),1,0)+IF(AND(COUNTIF($L31,"éliminée*"),J29&gt;J$7),1,0)))),"")</f>
        <v/>
      </c>
      <c r="K37" s="15" t="str">
        <f>IF('Vote et Résultats'!$N$13="Valide",IF(COUNTIF($L27:$L31,"gagnante*"),"",IF(COUNTIF($L29,"éliminée*"),"",K29-(IF(AND(COUNTIF($L27,"éliminée*"),K29&gt;K$3),1,0)+IF(AND(COUNTIF($L28,"éliminée*"),K29&gt;K$4),1,0)+IF(AND(COUNTIF($L30,"éliminée*"),K29&gt;K$6),1,0)+IF(AND(COUNTIF($L31,"éliminée*"),K29&gt;K$7),1,0)))),"")</f>
        <v/>
      </c>
      <c r="L37" t="str">
        <f>IF(L29&lt;&gt;"",L29,IF(N37&gt;=6,"gagnante tour "&amp;M37,IF(OR(COUNTIF(N35:N39,"&gt;=6"),O37=MAX(O35:O39)),"éliminée tour "&amp;M37,"")))</f>
        <v>éliminée tour 1</v>
      </c>
      <c r="M37">
        <v>5</v>
      </c>
      <c r="N37" t="str">
        <f t="shared" si="4"/>
        <v/>
      </c>
      <c r="O37">
        <f>IF(N37="",O29,RANK(N37,N35:N39))</f>
        <v>4</v>
      </c>
    </row>
    <row r="38" spans="1:15" x14ac:dyDescent="0.25">
      <c r="A38" t="s">
        <v>2</v>
      </c>
      <c r="B38" s="15" t="str">
        <f>IF('Vote et Résultats'!$N$4="Valide",IF(COUNTIF($L27:$L31,"gagnante*"),"",IF(COUNTIF($L30,"éliminée*"),"",B30-(IF(AND(COUNTIF($L27,"éliminée*"),B30&gt;B$3),1,0)+IF(AND(COUNTIF($L28,"éliminée*"),B30&gt;B$4),1,0)+IF(AND(COUNTIF($L29,"éliminée*"),B30&gt;B$5),1,0)+IF(AND(COUNTIF($L31,"éliminée*"),B30&gt;B$7),1,0)))),"")</f>
        <v/>
      </c>
      <c r="C38" s="15" t="str">
        <f>IF('Vote et Résultats'!$N$5="Valide",IF(COUNTIF($L27:$L31,"gagnante*"),"",IF(COUNTIF($L30,"éliminée*"),"",C30-(IF(AND(COUNTIF($L27,"éliminée*"),C30&gt;C$3),1,0)+IF(AND(COUNTIF($L28,"éliminée*"),C30&gt;C$4),1,0)+IF(AND(COUNTIF($L29,"éliminée*"),C30&gt;C$5),1,0)+IF(AND(COUNTIF($L31,"éliminée*"),C30&gt;C$7),1,0)))),"")</f>
        <v/>
      </c>
      <c r="D38" s="15" t="str">
        <f>IF('Vote et Résultats'!$N$6="Valide",IF(COUNTIF($L27:$L31,"gagnante*"),"",IF(COUNTIF($L30,"éliminée*"),"",D30-(IF(AND(COUNTIF($L27,"éliminée*"),D30&gt;D$3),1,0)+IF(AND(COUNTIF($L28,"éliminée*"),D30&gt;D$4),1,0)+IF(AND(COUNTIF($L29,"éliminée*"),D30&gt;D$5),1,0)+IF(AND(COUNTIF($L31,"éliminée*"),D30&gt;D$7),1,0)))),"")</f>
        <v/>
      </c>
      <c r="E38" s="15" t="str">
        <f>IF('Vote et Résultats'!$N$7="Valide",IF(COUNTIF($L27:$L31,"gagnante*"),"",IF(COUNTIF($L30,"éliminée*"),"",E30-(IF(AND(COUNTIF($L27,"éliminée*"),E30&gt;E$3),1,0)+IF(AND(COUNTIF($L28,"éliminée*"),E30&gt;E$4),1,0)+IF(AND(COUNTIF($L29,"éliminée*"),E30&gt;E$5),1,0)+IF(AND(COUNTIF($L31,"éliminée*"),E30&gt;E$7),1,0)))),"")</f>
        <v/>
      </c>
      <c r="F38" s="15" t="str">
        <f>IF('Vote et Résultats'!$N$8="Valide",IF(COUNTIF($L27:$L31,"gagnante*"),"",IF(COUNTIF($L30,"éliminée*"),"",F30-(IF(AND(COUNTIF($L27,"éliminée*"),F30&gt;F$3),1,0)+IF(AND(COUNTIF($L28,"éliminée*"),F30&gt;F$4),1,0)+IF(AND(COUNTIF($L29,"éliminée*"),F30&gt;F$5),1,0)+IF(AND(COUNTIF($L31,"éliminée*"),F30&gt;F$7),1,0)))),"")</f>
        <v/>
      </c>
      <c r="G38" s="15" t="str">
        <f>IF('Vote et Résultats'!$N$9="Valide",IF(COUNTIF($L27:$L31,"gagnante*"),"",IF(COUNTIF($L30,"éliminée*"),"",G30-(IF(AND(COUNTIF($L27,"éliminée*"),G30&gt;G$3),1,0)+IF(AND(COUNTIF($L28,"éliminée*"),G30&gt;G$4),1,0)+IF(AND(COUNTIF($L29,"éliminée*"),G30&gt;G$5),1,0)+IF(AND(COUNTIF($L31,"éliminée*"),G30&gt;G$7),1,0)))),"")</f>
        <v/>
      </c>
      <c r="H38" s="15" t="str">
        <f>IF('Vote et Résultats'!$N$10="Valide",IF(COUNTIF($L27:$L31,"gagnante*"),"",IF(COUNTIF($L30,"éliminée*"),"",H30-(IF(AND(COUNTIF($L27,"éliminée*"),H30&gt;H$3),1,0)+IF(AND(COUNTIF($L28,"éliminée*"),H30&gt;H$4),1,0)+IF(AND(COUNTIF($L29,"éliminée*"),H30&gt;H$5),1,0)+IF(AND(COUNTIF($L31,"éliminée*"),H30&gt;H$7),1,0)))),"")</f>
        <v/>
      </c>
      <c r="I38" s="15" t="str">
        <f>IF('Vote et Résultats'!$N$11="Valide",IF(COUNTIF($L27:$L31,"gagnante*"),"",IF(COUNTIF($L30,"éliminée*"),"",I30-(IF(AND(COUNTIF($L27,"éliminée*"),I30&gt;I$3),1,0)+IF(AND(COUNTIF($L28,"éliminée*"),I30&gt;I$4),1,0)+IF(AND(COUNTIF($L29,"éliminée*"),I30&gt;I$5),1,0)+IF(AND(COUNTIF($L31,"éliminée*"),I30&gt;I$7),1,0)))),"")</f>
        <v/>
      </c>
      <c r="J38" s="15" t="str">
        <f>IF('Vote et Résultats'!$N$12="Valide",IF(COUNTIF($L27:$L31,"gagnante*"),"",IF(COUNTIF($L30,"éliminée*"),"",J30-(IF(AND(COUNTIF($L27,"éliminée*"),J30&gt;J$3),1,0)+IF(AND(COUNTIF($L28,"éliminée*"),J30&gt;J$4),1,0)+IF(AND(COUNTIF($L29,"éliminée*"),J30&gt;J$5),1,0)+IF(AND(COUNTIF($L31,"éliminée*"),J30&gt;J$7),1,0)))),"")</f>
        <v/>
      </c>
      <c r="K38" s="15" t="str">
        <f>IF('Vote et Résultats'!$N$13="Valide",IF(COUNTIF($L27:$L31,"gagnante*"),"",IF(COUNTIF($L30,"éliminée*"),"",K30-(IF(AND(COUNTIF($L27,"éliminée*"),K30&gt;K$3),1,0)+IF(AND(COUNTIF($L28,"éliminée*"),K30&gt;K$4),1,0)+IF(AND(COUNTIF($L29,"éliminée*"),K30&gt;K$5),1,0)+IF(AND(COUNTIF($L31,"éliminée*"),K30&gt;K$7),1,0)))),"")</f>
        <v/>
      </c>
      <c r="L38" t="str">
        <f>IF(L30&lt;&gt;"",L30,IF(N38&gt;=6,"gagnante tour "&amp;M38,IF(OR(COUNTIF(N35:N39,"&gt;=6"),O38=MAX(O35:O39)),"éliminée tour "&amp;M38,"")))</f>
        <v>éliminée tour 1</v>
      </c>
      <c r="M38">
        <v>5</v>
      </c>
      <c r="N38" t="str">
        <f t="shared" si="4"/>
        <v/>
      </c>
      <c r="O38">
        <f>IF(N38="",O30,RANK(N38,N35:N39))</f>
        <v>3</v>
      </c>
    </row>
    <row r="39" spans="1:15" x14ac:dyDescent="0.25">
      <c r="A39" t="s">
        <v>3</v>
      </c>
      <c r="B39" s="15" t="str">
        <f>IF('Vote et Résultats'!$N$4="Valide",IF(COUNTIF($L27:$L31,"gagnante*"),"",IF(COUNTIF($L31,"éliminée*"),"",B31-(IF(AND(COUNTIF($L27,"éliminée*"),B31&gt;B$3),1,0)+IF(AND(COUNTIF($L28,"éliminée*"),B31&gt;B$4),1,0)+IF(AND(COUNTIF($L29,"éliminée*"),B31&gt;B$5),1,0)+IF(AND(COUNTIF($L30,"éliminée*"),B31&gt;B$6),1,0)))),"")</f>
        <v/>
      </c>
      <c r="C39" s="15" t="str">
        <f>IF('Vote et Résultats'!$N$5="Valide",IF(COUNTIF($L27:$L31,"gagnante*"),"",IF(COUNTIF($L31,"éliminée*"),"",C31-(IF(AND(COUNTIF($L27,"éliminée*"),C31&gt;C$3),1,0)+IF(AND(COUNTIF($L28,"éliminée*"),C31&gt;C$4),1,0)+IF(AND(COUNTIF($L29,"éliminée*"),C31&gt;C$5),1,0)+IF(AND(COUNTIF($L30,"éliminée*"),C31&gt;C$6),1,0)))),"")</f>
        <v/>
      </c>
      <c r="D39" s="15" t="str">
        <f>IF('Vote et Résultats'!$N$6="Valide",IF(COUNTIF($L27:$L31,"gagnante*"),"",IF(COUNTIF($L31,"éliminée*"),"",D31-(IF(AND(COUNTIF($L27,"éliminée*"),D31&gt;D$3),1,0)+IF(AND(COUNTIF($L28,"éliminée*"),D31&gt;D$4),1,0)+IF(AND(COUNTIF($L29,"éliminée*"),D31&gt;D$5),1,0)+IF(AND(COUNTIF($L30,"éliminée*"),D31&gt;D$6),1,0)))),"")</f>
        <v/>
      </c>
      <c r="E39" s="15" t="str">
        <f>IF('Vote et Résultats'!$N$7="Valide",IF(COUNTIF($L27:$L31,"gagnante*"),"",IF(COUNTIF($L31,"éliminée*"),"",E31-(IF(AND(COUNTIF($L27,"éliminée*"),E31&gt;E$3),1,0)+IF(AND(COUNTIF($L28,"éliminée*"),E31&gt;E$4),1,0)+IF(AND(COUNTIF($L29,"éliminée*"),E31&gt;E$5),1,0)+IF(AND(COUNTIF($L30,"éliminée*"),E31&gt;E$6),1,0)))),"")</f>
        <v/>
      </c>
      <c r="F39" s="15" t="str">
        <f>IF('Vote et Résultats'!$N$8="Valide",IF(COUNTIF($L27:$L31,"gagnante*"),"",IF(COUNTIF($L31,"éliminée*"),"",F31-(IF(AND(COUNTIF($L27,"éliminée*"),F31&gt;F$3),1,0)+IF(AND(COUNTIF($L28,"éliminée*"),F31&gt;F$4),1,0)+IF(AND(COUNTIF($L29,"éliminée*"),F31&gt;F$5),1,0)+IF(AND(COUNTIF($L30,"éliminée*"),F31&gt;F$6),1,0)))),"")</f>
        <v/>
      </c>
      <c r="G39" s="15" t="str">
        <f>IF('Vote et Résultats'!$N$9="Valide",IF(COUNTIF($L27:$L31,"gagnante*"),"",IF(COUNTIF($L31,"éliminée*"),"",G31-(IF(AND(COUNTIF($L27,"éliminée*"),G31&gt;G$3),1,0)+IF(AND(COUNTIF($L28,"éliminée*"),G31&gt;G$4),1,0)+IF(AND(COUNTIF($L29,"éliminée*"),G31&gt;G$5),1,0)+IF(AND(COUNTIF($L30,"éliminée*"),G31&gt;G$6),1,0)))),"")</f>
        <v/>
      </c>
      <c r="H39" s="15" t="str">
        <f>IF('Vote et Résultats'!$N$10="Valide",IF(COUNTIF($L27:$L31,"gagnante*"),"",IF(COUNTIF($L31,"éliminée*"),"",H31-(IF(AND(COUNTIF($L27,"éliminée*"),H31&gt;H$3),1,0)+IF(AND(COUNTIF($L28,"éliminée*"),H31&gt;H$4),1,0)+IF(AND(COUNTIF($L29,"éliminée*"),H31&gt;H$5),1,0)+IF(AND(COUNTIF($L30,"éliminée*"),H31&gt;H$6),1,0)))),"")</f>
        <v/>
      </c>
      <c r="I39" s="15" t="str">
        <f>IF('Vote et Résultats'!$N$11="Valide",IF(COUNTIF($L27:$L31,"gagnante*"),"",IF(COUNTIF($L31,"éliminée*"),"",I31-(IF(AND(COUNTIF($L27,"éliminée*"),I31&gt;I$3),1,0)+IF(AND(COUNTIF($L28,"éliminée*"),I31&gt;I$4),1,0)+IF(AND(COUNTIF($L29,"éliminée*"),I31&gt;I$5),1,0)+IF(AND(COUNTIF($L30,"éliminée*"),I31&gt;I$6),1,0)))),"")</f>
        <v/>
      </c>
      <c r="J39" s="15" t="str">
        <f>IF('Vote et Résultats'!$N$12="Valide",IF(COUNTIF($L27:$L31,"gagnante*"),"",IF(COUNTIF($L31,"éliminée*"),"",J31-(IF(AND(COUNTIF($L27,"éliminée*"),J31&gt;J$3),1,0)+IF(AND(COUNTIF($L28,"éliminée*"),J31&gt;J$4),1,0)+IF(AND(COUNTIF($L29,"éliminée*"),J31&gt;J$5),1,0)+IF(AND(COUNTIF($L30,"éliminée*"),J31&gt;J$6),1,0)))),"")</f>
        <v/>
      </c>
      <c r="K39" s="15" t="str">
        <f>IF('Vote et Résultats'!$N$13="Valide",IF(COUNTIF($L27:$L31,"gagnante*"),"",IF(COUNTIF($L31,"éliminée*"),"",K31-(IF(AND(COUNTIF($L27,"éliminée*"),K31&gt;K$3),1,0)+IF(AND(COUNTIF($L28,"éliminée*"),K31&gt;K$4),1,0)+IF(AND(COUNTIF($L29,"éliminée*"),K31&gt;K$5),1,0)+IF(AND(COUNTIF($L30,"éliminée*"),K31&gt;K$6),1,0)))),"")</f>
        <v/>
      </c>
      <c r="L39" t="str">
        <f>IF(L31&lt;&gt;"",L31,IF(N39&gt;=6,"gagnante tour "&amp;M39,IF(OR(COUNTIF(N35:N39,"&gt;=6"),O39=MAX(O35:O39)),"éliminée tour "&amp;M39,"")))</f>
        <v>éliminée tour 1</v>
      </c>
      <c r="M39">
        <v>5</v>
      </c>
      <c r="N39" t="str">
        <f t="shared" si="4"/>
        <v/>
      </c>
      <c r="O39">
        <f>IF(N39="",O31,RANK(N39,N35:N39))</f>
        <v>4</v>
      </c>
    </row>
  </sheetData>
  <mergeCells count="5">
    <mergeCell ref="A9:O9"/>
    <mergeCell ref="A1:O1"/>
    <mergeCell ref="A17:O17"/>
    <mergeCell ref="A25:O25"/>
    <mergeCell ref="A33:O33"/>
  </mergeCells>
  <phoneticPr fontId="23" type="noConversion"/>
  <conditionalFormatting sqref="B3:K7">
    <cfRule type="containsText" dxfId="111" priority="72" operator="containsText" text="6">
      <formula>NOT(ISERROR(SEARCH("6",B3)))</formula>
    </cfRule>
    <cfRule type="containsText" dxfId="110" priority="73" operator="containsText" text="5">
      <formula>NOT(ISERROR(SEARCH("5",B3)))</formula>
    </cfRule>
    <cfRule type="containsText" dxfId="109" priority="74" operator="containsText" text="4">
      <formula>NOT(ISERROR(SEARCH("4",B3)))</formula>
    </cfRule>
    <cfRule type="containsText" dxfId="108" priority="75" operator="containsText" text="3">
      <formula>NOT(ISERROR(SEARCH("3",B3)))</formula>
    </cfRule>
    <cfRule type="beginsWith" dxfId="107" priority="76" operator="beginsWith" text="2">
      <formula>LEFT(B3,LEN("2"))="2"</formula>
    </cfRule>
    <cfRule type="containsText" dxfId="106" priority="77" operator="containsText" text="1">
      <formula>NOT(ISERROR(SEARCH("1",B3)))</formula>
    </cfRule>
  </conditionalFormatting>
  <conditionalFormatting sqref="B3:K7">
    <cfRule type="expression" dxfId="105" priority="71">
      <formula>$M$3="Invalide"</formula>
    </cfRule>
  </conditionalFormatting>
  <conditionalFormatting sqref="B11:K15">
    <cfRule type="containsText" dxfId="104" priority="65" operator="containsText" text="6">
      <formula>NOT(ISERROR(SEARCH("6",B11)))</formula>
    </cfRule>
    <cfRule type="containsText" dxfId="103" priority="66" operator="containsText" text="5">
      <formula>NOT(ISERROR(SEARCH("5",B11)))</formula>
    </cfRule>
    <cfRule type="containsText" dxfId="102" priority="67" operator="containsText" text="4">
      <formula>NOT(ISERROR(SEARCH("4",B11)))</formula>
    </cfRule>
    <cfRule type="containsText" dxfId="101" priority="68" operator="containsText" text="3">
      <formula>NOT(ISERROR(SEARCH("3",B11)))</formula>
    </cfRule>
    <cfRule type="beginsWith" dxfId="100" priority="69" operator="beginsWith" text="2">
      <formula>LEFT(B11,LEN("2"))="2"</formula>
    </cfRule>
    <cfRule type="containsText" dxfId="99" priority="70" operator="containsText" text="1">
      <formula>NOT(ISERROR(SEARCH("1",B11)))</formula>
    </cfRule>
  </conditionalFormatting>
  <conditionalFormatting sqref="B11:K15">
    <cfRule type="expression" dxfId="98" priority="64">
      <formula>$M$3="Invalide"</formula>
    </cfRule>
  </conditionalFormatting>
  <conditionalFormatting sqref="B19:K23">
    <cfRule type="containsText" dxfId="97" priority="16" operator="containsText" text="6">
      <formula>NOT(ISERROR(SEARCH("6",B19)))</formula>
    </cfRule>
    <cfRule type="containsText" dxfId="96" priority="17" operator="containsText" text="5">
      <formula>NOT(ISERROR(SEARCH("5",B19)))</formula>
    </cfRule>
    <cfRule type="containsText" dxfId="95" priority="18" operator="containsText" text="4">
      <formula>NOT(ISERROR(SEARCH("4",B19)))</formula>
    </cfRule>
    <cfRule type="containsText" dxfId="94" priority="19" operator="containsText" text="3">
      <formula>NOT(ISERROR(SEARCH("3",B19)))</formula>
    </cfRule>
    <cfRule type="beginsWith" dxfId="93" priority="20" operator="beginsWith" text="2">
      <formula>LEFT(B19,LEN("2"))="2"</formula>
    </cfRule>
    <cfRule type="containsText" dxfId="92" priority="21" operator="containsText" text="1">
      <formula>NOT(ISERROR(SEARCH("1",B19)))</formula>
    </cfRule>
  </conditionalFormatting>
  <conditionalFormatting sqref="B19:K23">
    <cfRule type="expression" dxfId="91" priority="15">
      <formula>$M$3="Invalide"</formula>
    </cfRule>
  </conditionalFormatting>
  <conditionalFormatting sqref="B27:K31">
    <cfRule type="containsText" dxfId="90" priority="9" operator="containsText" text="6">
      <formula>NOT(ISERROR(SEARCH("6",B27)))</formula>
    </cfRule>
    <cfRule type="containsText" dxfId="89" priority="10" operator="containsText" text="5">
      <formula>NOT(ISERROR(SEARCH("5",B27)))</formula>
    </cfRule>
    <cfRule type="containsText" dxfId="88" priority="11" operator="containsText" text="4">
      <formula>NOT(ISERROR(SEARCH("4",B27)))</formula>
    </cfRule>
    <cfRule type="containsText" dxfId="87" priority="12" operator="containsText" text="3">
      <formula>NOT(ISERROR(SEARCH("3",B27)))</formula>
    </cfRule>
    <cfRule type="beginsWith" dxfId="86" priority="13" operator="beginsWith" text="2">
      <formula>LEFT(B27,LEN("2"))="2"</formula>
    </cfRule>
    <cfRule type="containsText" dxfId="85" priority="14" operator="containsText" text="1">
      <formula>NOT(ISERROR(SEARCH("1",B27)))</formula>
    </cfRule>
  </conditionalFormatting>
  <conditionalFormatting sqref="B27:K31">
    <cfRule type="expression" dxfId="84" priority="8">
      <formula>$M$3="Invalide"</formula>
    </cfRule>
  </conditionalFormatting>
  <conditionalFormatting sqref="B35:K39">
    <cfRule type="containsText" dxfId="83" priority="2" operator="containsText" text="6">
      <formula>NOT(ISERROR(SEARCH("6",B35)))</formula>
    </cfRule>
    <cfRule type="containsText" dxfId="82" priority="3" operator="containsText" text="5">
      <formula>NOT(ISERROR(SEARCH("5",B35)))</formula>
    </cfRule>
    <cfRule type="containsText" dxfId="81" priority="4" operator="containsText" text="4">
      <formula>NOT(ISERROR(SEARCH("4",B35)))</formula>
    </cfRule>
    <cfRule type="containsText" dxfId="80" priority="5" operator="containsText" text="3">
      <formula>NOT(ISERROR(SEARCH("3",B35)))</formula>
    </cfRule>
    <cfRule type="beginsWith" dxfId="79" priority="6" operator="beginsWith" text="2">
      <formula>LEFT(B35,LEN("2"))="2"</formula>
    </cfRule>
    <cfRule type="containsText" dxfId="78" priority="7" operator="containsText" text="1">
      <formula>NOT(ISERROR(SEARCH("1",B35)))</formula>
    </cfRule>
  </conditionalFormatting>
  <conditionalFormatting sqref="B35:K39">
    <cfRule type="expression" dxfId="77" priority="1">
      <formula>$M$3="Invalide"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9EAD-E864-4B37-BF85-FC472F447840}">
  <dimension ref="A1:Q40"/>
  <sheetViews>
    <sheetView tabSelected="1" workbookViewId="0">
      <selection activeCell="A34" sqref="A34"/>
    </sheetView>
  </sheetViews>
  <sheetFormatPr defaultColWidth="9.140625" defaultRowHeight="15" x14ac:dyDescent="0.25"/>
  <cols>
    <col min="1" max="11" width="11.140625" customWidth="1"/>
    <col min="12" max="12" width="16.7109375" customWidth="1"/>
    <col min="13" max="13" width="4.7109375" hidden="1" customWidth="1"/>
    <col min="14" max="14" width="13.28515625" customWidth="1"/>
    <col min="15" max="15" width="17" customWidth="1"/>
    <col min="16" max="16" width="16" hidden="1" customWidth="1"/>
    <col min="17" max="17" width="13.85546875" customWidth="1"/>
  </cols>
  <sheetData>
    <row r="1" spans="1:17" x14ac:dyDescent="0.25">
      <c r="A1" s="122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63</v>
      </c>
      <c r="M2" t="s">
        <v>77</v>
      </c>
      <c r="N2" t="s">
        <v>78</v>
      </c>
      <c r="O2" t="s">
        <v>85</v>
      </c>
      <c r="P2" t="s">
        <v>87</v>
      </c>
      <c r="Q2" t="s">
        <v>76</v>
      </c>
    </row>
    <row r="3" spans="1:17" x14ac:dyDescent="0.25">
      <c r="A3" t="s">
        <v>34</v>
      </c>
      <c r="B3" s="15">
        <f>IF('Vote et Résultats'!$N$4="Valide",VLOOKUP('Vote et Résultats'!$C4,Valeurs!$E$1:$F$6,2,FALSE),"")</f>
        <v>1</v>
      </c>
      <c r="C3" s="15">
        <f>IF('Vote et Résultats'!$N$5="Valide",VLOOKUP('Vote et Résultats'!$C5,Valeurs!$E$1:$F$6,2,FALSE),"")</f>
        <v>1</v>
      </c>
      <c r="D3" s="15">
        <f>IF('Vote et Résultats'!$N$6="Valide",VLOOKUP('Vote et Résultats'!$C6,Valeurs!$E$1:$F$6,2,FALSE),"")</f>
        <v>1</v>
      </c>
      <c r="E3" s="15">
        <f>IF('Vote et Résultats'!$N$7="Valide",VLOOKUP('Vote et Résultats'!$C7,Valeurs!$E$1:$F$6,2,FALSE),"")</f>
        <v>1</v>
      </c>
      <c r="F3" s="15">
        <f>IF('Vote et Résultats'!$N$8="Valide",VLOOKUP('Vote et Résultats'!$C8,Valeurs!$E$1:$F$6,2,FALSE),"")</f>
        <v>1</v>
      </c>
      <c r="G3" s="15">
        <f>IF('Vote et Résultats'!$N$9="Valide",VLOOKUP('Vote et Résultats'!$C9,Valeurs!$E$1:$F$6,2,FALSE),"")</f>
        <v>1</v>
      </c>
      <c r="H3" s="15">
        <f>IF('Vote et Résultats'!$N$10="Valide",VLOOKUP('Vote et Résultats'!$C10,Valeurs!$E$1:$F$6,2,FALSE),"")</f>
        <v>6</v>
      </c>
      <c r="I3" s="15">
        <f>IF('Vote et Résultats'!$N$11="Valide",VLOOKUP('Vote et Résultats'!$C11,Valeurs!$E$1:$F$6,2,FALSE),"")</f>
        <v>6</v>
      </c>
      <c r="J3" s="15">
        <f>IF('Vote et Résultats'!$N$12="Valide",VLOOKUP('Vote et Résultats'!$C12,Valeurs!$E$1:$F$6,2,FALSE),"")</f>
        <v>6</v>
      </c>
      <c r="K3" s="15">
        <f>IF('Vote et Résultats'!$N$13="Valide",VLOOKUP('Vote et Résultats'!$C13,Valeurs!$E$1:$F$6,2,FALSE),"")</f>
        <v>6</v>
      </c>
      <c r="L3" t="str">
        <f>IF(N3&gt;=6,"gagnante tour "&amp;M3,IF(OR(COUNTIF(N3:N7,"&gt;=6"),O3=MAX(O3:O7)),"éliminée tour "&amp;M3,""))</f>
        <v>gagnante tour 1</v>
      </c>
      <c r="M3">
        <v>1</v>
      </c>
      <c r="N3">
        <f>COUNTIF(B3:K3,1)</f>
        <v>6</v>
      </c>
      <c r="O3">
        <f>COUNTIF(B3,B8)+COUNTIF(C3,C8)+COUNTIF(D3,D8)+COUNTIF(E3,E8)+COUNTIF(F3,F8)+COUNTIF(G3,G8)+COUNTIF(H3,H8)+COUNTIF(I3,I8)+COUNTIF(J3,J8)+COUNTIF(K3,K8)</f>
        <v>4</v>
      </c>
      <c r="P3">
        <f>RANK(N3,N3:N7)</f>
        <v>1</v>
      </c>
      <c r="Q3">
        <f>IF(COUNTIF($L3:$L7,"gagnante*"),P3,"")</f>
        <v>1</v>
      </c>
    </row>
    <row r="4" spans="1:17" x14ac:dyDescent="0.25">
      <c r="A4" t="s">
        <v>0</v>
      </c>
      <c r="B4" s="15">
        <f>IF('Vote et Résultats'!$N$4="Valide",VLOOKUP('Vote et Résultats'!$E4,Valeurs!$E$1:$F$6,2,FALSE),"")</f>
        <v>6</v>
      </c>
      <c r="C4" s="15">
        <f>IF('Vote et Résultats'!$N$5="Valide",VLOOKUP('Vote et Résultats'!$E5,Valeurs!$E$1:$F$6,2,FALSE),"")</f>
        <v>3</v>
      </c>
      <c r="D4" s="15">
        <f>IF('Vote et Résultats'!$N$6="Valide",VLOOKUP('Vote et Résultats'!$E6,Valeurs!$E$1:$F$6,2,FALSE),"")</f>
        <v>2</v>
      </c>
      <c r="E4" s="15">
        <f>IF('Vote et Résultats'!$N$7="Valide",VLOOKUP('Vote et Résultats'!$E7,Valeurs!$E$1:$F$6,2,FALSE),"")</f>
        <v>2</v>
      </c>
      <c r="F4" s="15">
        <f>IF('Vote et Résultats'!$N$8="Valide",VLOOKUP('Vote et Résultats'!$E8,Valeurs!$E$1:$F$6,2,FALSE),"")</f>
        <v>5</v>
      </c>
      <c r="G4" s="15">
        <f>IF('Vote et Résultats'!$N$9="Valide",VLOOKUP('Vote et Résultats'!$E9,Valeurs!$E$1:$F$6,2,FALSE),"")</f>
        <v>2</v>
      </c>
      <c r="H4" s="15">
        <f>IF('Vote et Résultats'!$N$10="Valide",VLOOKUP('Vote et Résultats'!$E10,Valeurs!$E$1:$F$6,2,FALSE),"")</f>
        <v>4</v>
      </c>
      <c r="I4" s="15">
        <f>IF('Vote et Résultats'!$N$11="Valide",VLOOKUP('Vote et Résultats'!$E11,Valeurs!$E$1:$F$6,2,FALSE),"")</f>
        <v>1</v>
      </c>
      <c r="J4" s="15">
        <f>IF('Vote et Résultats'!$N$12="Valide",VLOOKUP('Vote et Résultats'!$E12,Valeurs!$E$1:$F$6,2,FALSE),"")</f>
        <v>1</v>
      </c>
      <c r="K4" s="15">
        <f>IF('Vote et Résultats'!$N$13="Valide",VLOOKUP('Vote et Résultats'!$E13,Valeurs!$E$1:$F$6,2,FALSE),"")</f>
        <v>1</v>
      </c>
      <c r="L4" t="str">
        <f>IF(N4&gt;=6,"gagnante tour "&amp;M4,IF(OR(COUNTIF(N3:N7,"&gt;=6"),O4=MAX(O3:O7)),"éliminée tour "&amp;M4,""))</f>
        <v>éliminée tour 1</v>
      </c>
      <c r="M4">
        <v>1</v>
      </c>
      <c r="N4">
        <f t="shared" ref="N4:N7" si="0">COUNTIF(B4:K4,1)</f>
        <v>3</v>
      </c>
      <c r="O4">
        <f>COUNTIF(B4,B8)+COUNTIF(C4,C8)+COUNTIF(D4,D8)+COUNTIF(E4,E8)+COUNTIF(F4,F8)+COUNTIF(G4,G8)+COUNTIF(H4,H8)+COUNTIF(I4,I8)+COUNTIF(J4,J8)+COUNTIF(K4,K8)</f>
        <v>2</v>
      </c>
      <c r="P4">
        <f>RANK(N4,N3:N7)</f>
        <v>2</v>
      </c>
      <c r="Q4">
        <f>IF(COUNTIF($L3:$L7,"gagnante*"),P4,"")</f>
        <v>2</v>
      </c>
    </row>
    <row r="5" spans="1:17" x14ac:dyDescent="0.25">
      <c r="A5" t="s">
        <v>1</v>
      </c>
      <c r="B5" s="15">
        <f>IF('Vote et Résultats'!$N$4="Valide",VLOOKUP('Vote et Résultats'!$G4,Valeurs!$E$1:$F$6,2,FALSE),"")</f>
        <v>2</v>
      </c>
      <c r="C5" s="15">
        <f>IF('Vote et Résultats'!$N$5="Valide",VLOOKUP('Vote et Résultats'!$G5,Valeurs!$E$1:$F$6,2,FALSE),"")</f>
        <v>2</v>
      </c>
      <c r="D5" s="15">
        <f>IF('Vote et Résultats'!$N$6="Valide",VLOOKUP('Vote et Résultats'!$G6,Valeurs!$E$1:$F$6,2,FALSE),"")</f>
        <v>3</v>
      </c>
      <c r="E5" s="15">
        <f>IF('Vote et Résultats'!$N$7="Valide",VLOOKUP('Vote et Résultats'!$G7,Valeurs!$E$1:$F$6,2,FALSE),"")</f>
        <v>3</v>
      </c>
      <c r="F5" s="15">
        <f>IF('Vote et Résultats'!$N$8="Valide",VLOOKUP('Vote et Résultats'!$G8,Valeurs!$E$1:$F$6,2,FALSE),"")</f>
        <v>2</v>
      </c>
      <c r="G5" s="15">
        <f>IF('Vote et Résultats'!$N$9="Valide",VLOOKUP('Vote et Résultats'!$G9,Valeurs!$E$1:$F$6,2,FALSE),"")</f>
        <v>3</v>
      </c>
      <c r="H5" s="15">
        <f>IF('Vote et Résultats'!$N$10="Valide",VLOOKUP('Vote et Résultats'!$G10,Valeurs!$E$1:$F$6,2,FALSE),"")</f>
        <v>2</v>
      </c>
      <c r="I5" s="15">
        <f>IF('Vote et Résultats'!$N$11="Valide",VLOOKUP('Vote et Résultats'!$G11,Valeurs!$E$1:$F$6,2,FALSE),"")</f>
        <v>2</v>
      </c>
      <c r="J5" s="15">
        <f>IF('Vote et Résultats'!$N$12="Valide",VLOOKUP('Vote et Résultats'!$G12,Valeurs!$E$1:$F$6,2,FALSE),"")</f>
        <v>2</v>
      </c>
      <c r="K5" s="15">
        <f>IF('Vote et Résultats'!$N$13="Valide",VLOOKUP('Vote et Résultats'!$G13,Valeurs!$E$1:$F$6,2,FALSE),"")</f>
        <v>2</v>
      </c>
      <c r="L5" t="str">
        <f>IF(N5&gt;=6,"gagnante tour "&amp;M5,IF(OR(COUNTIF(N3:N7,"&gt;=6"),O5=MAX(O3:O7)),"éliminée tour "&amp;M5,""))</f>
        <v>éliminée tour 1</v>
      </c>
      <c r="M5">
        <v>1</v>
      </c>
      <c r="N5">
        <f t="shared" si="0"/>
        <v>0</v>
      </c>
      <c r="O5">
        <f>COUNTIF(B5,B8)+COUNTIF(C5,C8)+COUNTIF(D5,D8)+COUNTIF(E5,E8)+COUNTIF(F5,F8)+COUNTIF(G5,G8)+COUNTIF(H5,H8)+COUNTIF(I5,I8)+COUNTIF(J5,J8)+COUNTIF(K5,K8)</f>
        <v>0</v>
      </c>
      <c r="P5">
        <f>RANK(N5,N3:N7)</f>
        <v>4</v>
      </c>
      <c r="Q5">
        <f>IF(COUNTIF($L3:$L7,"gagnante*"),P5,"")</f>
        <v>4</v>
      </c>
    </row>
    <row r="6" spans="1:17" x14ac:dyDescent="0.25">
      <c r="A6" t="s">
        <v>2</v>
      </c>
      <c r="B6" s="15">
        <f>IF('Vote et Résultats'!$N$4="Valide",VLOOKUP('Vote et Résultats'!$I4,Valeurs!$E$1:$F$6,2,FALSE),"")</f>
        <v>6</v>
      </c>
      <c r="C6" s="15">
        <f>IF('Vote et Résultats'!$N$5="Valide",VLOOKUP('Vote et Résultats'!$I5,Valeurs!$E$1:$F$6,2,FALSE),"")</f>
        <v>6</v>
      </c>
      <c r="D6" s="15">
        <f>IF('Vote et Résultats'!$N$6="Valide",VLOOKUP('Vote et Résultats'!$I6,Valeurs!$E$1:$F$6,2,FALSE),"")</f>
        <v>4</v>
      </c>
      <c r="E6" s="15">
        <f>IF('Vote et Résultats'!$N$7="Valide",VLOOKUP('Vote et Résultats'!$I7,Valeurs!$E$1:$F$6,2,FALSE),"")</f>
        <v>5</v>
      </c>
      <c r="F6" s="15">
        <f>IF('Vote et Résultats'!$N$8="Valide",VLOOKUP('Vote et Résultats'!$I8,Valeurs!$E$1:$F$6,2,FALSE),"")</f>
        <v>4</v>
      </c>
      <c r="G6" s="15">
        <f>IF('Vote et Résultats'!$N$9="Valide",VLOOKUP('Vote et Résultats'!$I9,Valeurs!$E$1:$F$6,2,FALSE),"")</f>
        <v>5</v>
      </c>
      <c r="H6" s="15">
        <f>IF('Vote et Résultats'!$N$10="Valide",VLOOKUP('Vote et Résultats'!$I10,Valeurs!$E$1:$F$6,2,FALSE),"")</f>
        <v>1</v>
      </c>
      <c r="I6" s="15">
        <f>IF('Vote et Résultats'!$N$11="Valide",VLOOKUP('Vote et Résultats'!$I11,Valeurs!$E$1:$F$6,2,FALSE),"")</f>
        <v>3</v>
      </c>
      <c r="J6" s="15">
        <f>IF('Vote et Résultats'!$N$12="Valide",VLOOKUP('Vote et Résultats'!$I12,Valeurs!$E$1:$F$6,2,FALSE),"")</f>
        <v>3</v>
      </c>
      <c r="K6" s="15">
        <f>IF('Vote et Résultats'!$N$13="Valide",VLOOKUP('Vote et Résultats'!$I13,Valeurs!$E$1:$F$6,2,FALSE),"")</f>
        <v>3</v>
      </c>
      <c r="L6" t="str">
        <f>IF(N6&gt;=6,"gagnante tour "&amp;M6,IF(OR(COUNTIF(N3:N7,"&gt;=6"),O6=MAX(O3:O7)),"éliminée tour "&amp;M6,""))</f>
        <v>éliminée tour 1</v>
      </c>
      <c r="M6">
        <v>1</v>
      </c>
      <c r="N6">
        <f t="shared" si="0"/>
        <v>1</v>
      </c>
      <c r="O6">
        <f>COUNTIF(B6,B8)+COUNTIF(C6,C8)+COUNTIF(D6,D8)+COUNTIF(E6,E8)+COUNTIF(F6,F8)+COUNTIF(G6,G8)+COUNTIF(H6,H8)+COUNTIF(I6,I8)+COUNTIF(J6,J8)+COUNTIF(K6,K8)</f>
        <v>4</v>
      </c>
      <c r="P6">
        <f>RANK(N6,N3:N7)</f>
        <v>3</v>
      </c>
      <c r="Q6">
        <f>IF(COUNTIF($L3:$L7,"gagnante*"),P6,"")</f>
        <v>3</v>
      </c>
    </row>
    <row r="7" spans="1:17" x14ac:dyDescent="0.25">
      <c r="A7" t="s">
        <v>3</v>
      </c>
      <c r="B7" s="15">
        <f>IF('Vote et Résultats'!$N$4="Valide",VLOOKUP('Vote et Résultats'!$K4,Valeurs!$E$1:$F$6,2,FALSE),"")</f>
        <v>6</v>
      </c>
      <c r="C7" s="15">
        <f>IF('Vote et Résultats'!$N$5="Valide",VLOOKUP('Vote et Résultats'!$K5,Valeurs!$E$1:$F$6,2,FALSE),"")</f>
        <v>6</v>
      </c>
      <c r="D7" s="15">
        <f>IF('Vote et Résultats'!$N$6="Valide",VLOOKUP('Vote et Résultats'!$K6,Valeurs!$E$1:$F$6,2,FALSE),"")</f>
        <v>6</v>
      </c>
      <c r="E7" s="15">
        <f>IF('Vote et Résultats'!$N$7="Valide",VLOOKUP('Vote et Résultats'!$K7,Valeurs!$E$1:$F$6,2,FALSE),"")</f>
        <v>4</v>
      </c>
      <c r="F7" s="15">
        <f>IF('Vote et Résultats'!$N$8="Valide",VLOOKUP('Vote et Résultats'!$K8,Valeurs!$E$1:$F$6,2,FALSE),"")</f>
        <v>3</v>
      </c>
      <c r="G7" s="15">
        <f>IF('Vote et Résultats'!$N$9="Valide",VLOOKUP('Vote et Résultats'!$K9,Valeurs!$E$1:$F$6,2,FALSE),"")</f>
        <v>4</v>
      </c>
      <c r="H7" s="15">
        <f>IF('Vote et Résultats'!$N$10="Valide",VLOOKUP('Vote et Résultats'!$K10,Valeurs!$E$1:$F$6,2,FALSE),"")</f>
        <v>3</v>
      </c>
      <c r="I7" s="15">
        <f>IF('Vote et Résultats'!$N$11="Valide",VLOOKUP('Vote et Résultats'!$K11,Valeurs!$E$1:$F$6,2,FALSE),"")</f>
        <v>4</v>
      </c>
      <c r="J7" s="15">
        <f>IF('Vote et Résultats'!$N$12="Valide",VLOOKUP('Vote et Résultats'!$K12,Valeurs!$E$1:$F$6,2,FALSE),"")</f>
        <v>4</v>
      </c>
      <c r="K7" s="15">
        <f>IF('Vote et Résultats'!$N$13="Valide",VLOOKUP('Vote et Résultats'!$K13,Valeurs!$E$1:$F$6,2,FALSE),"")</f>
        <v>4</v>
      </c>
      <c r="L7" t="str">
        <f>IF(N7&gt;=6,"gagnante tour "&amp;M7,IF(OR(COUNTIF(N3:N7,"&gt;=6"),O7=MAX(O3:O7)),"éliminée tour "&amp;M7,""))</f>
        <v>éliminée tour 1</v>
      </c>
      <c r="M7">
        <v>1</v>
      </c>
      <c r="N7">
        <f t="shared" si="0"/>
        <v>0</v>
      </c>
      <c r="O7">
        <f>COUNTIF(B7,B8)+COUNTIF(C7,C8)+COUNTIF(D7,D8)+COUNTIF(E7,E8)+COUNTIF(F7,F8)+COUNTIF(G7,G8)+COUNTIF(H7,H8)+COUNTIF(I7,I8)+COUNTIF(J7,J8)+COUNTIF(K7,K8)</f>
        <v>3</v>
      </c>
      <c r="P7">
        <f>RANK(N7,N3:N7)</f>
        <v>4</v>
      </c>
      <c r="Q7">
        <f>IF(COUNTIF($L3:$L7,"gagnante*"),P7,"")</f>
        <v>4</v>
      </c>
    </row>
    <row r="8" spans="1:17" x14ac:dyDescent="0.25">
      <c r="A8" t="s">
        <v>86</v>
      </c>
      <c r="B8" s="15">
        <f>IF('Vote et Résultats'!$N$4="Valide",MAX(B3:B7),"")</f>
        <v>6</v>
      </c>
      <c r="C8" s="15">
        <f>IF('Vote et Résultats'!$N$5="Valide",MAX(C3:C7),"")</f>
        <v>6</v>
      </c>
      <c r="D8" s="15">
        <f>IF('Vote et Résultats'!$N$6="Valide",MAX(D3:D7),"")</f>
        <v>6</v>
      </c>
      <c r="E8" s="15">
        <f>IF('Vote et Résultats'!$N$7="Valide",MAX(E3:E7),"")</f>
        <v>5</v>
      </c>
      <c r="F8" s="15">
        <f>IF('Vote et Résultats'!$N$8="Valide",MAX(F3:F7),"")</f>
        <v>5</v>
      </c>
      <c r="G8" s="15">
        <f>IF('Vote et Résultats'!$N$9="Valide",MAX(G3:G7),"")</f>
        <v>5</v>
      </c>
      <c r="H8" s="15">
        <f>IF('Vote et Résultats'!$N$10="Valide",MAX(H3:H7),"")</f>
        <v>6</v>
      </c>
      <c r="I8" s="15">
        <f>IF('Vote et Résultats'!$N$11="Valide",MAX(I3:I7),"")</f>
        <v>6</v>
      </c>
      <c r="J8" s="15">
        <f>IF('Vote et Résultats'!$N$12="Valide",MAX(J3:J7),"")</f>
        <v>6</v>
      </c>
      <c r="K8" s="15">
        <f>IF('Vote et Résultats'!$N$13="Valide",MAX(K3:K7),"")</f>
        <v>6</v>
      </c>
    </row>
    <row r="9" spans="1:17" x14ac:dyDescent="0.25">
      <c r="A9" s="122" t="s">
        <v>90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</row>
    <row r="10" spans="1:17" x14ac:dyDescent="0.25">
      <c r="B10" t="str">
        <f>IF(COUNTIF(L3:L7,"gagnante*"),"","votant·e 1")</f>
        <v/>
      </c>
      <c r="C10" t="str">
        <f>IF(COUNTIF(L3:L7,"gagnante*"),"","votant·e 2")</f>
        <v/>
      </c>
      <c r="D10" t="str">
        <f>IF(COUNTIF(L3:L7,"gagnante*"),"","votant·e 3")</f>
        <v/>
      </c>
      <c r="E10" t="str">
        <f>IF(COUNTIF(L3:L7,"gagnante*"),"","votant·e 4")</f>
        <v/>
      </c>
      <c r="F10" t="str">
        <f>IF(COUNTIF(L3:L7,"gagnante*"),"","votant·e 5")</f>
        <v/>
      </c>
      <c r="G10" t="str">
        <f>IF(COUNTIF(L3:L7,"gagnante*"),"","votant·e 6")</f>
        <v/>
      </c>
      <c r="H10" t="str">
        <f>IF(COUNTIF(L3:L7,"gagnante*"),"","votant·e 7")</f>
        <v/>
      </c>
      <c r="I10" t="str">
        <f>IF(COUNTIF(L3:L7,"gagnante*"),"","votant·e 8")</f>
        <v/>
      </c>
      <c r="J10" t="str">
        <f>IF(COUNTIF(L3:L7,"gagnante*"),"","votant·e 9")</f>
        <v/>
      </c>
      <c r="K10" t="str">
        <f>IF(COUNTIF(L3:L7,"gagnante*"),"","votant·e 10")</f>
        <v/>
      </c>
      <c r="L10" t="s">
        <v>63</v>
      </c>
      <c r="M10" t="s">
        <v>77</v>
      </c>
      <c r="N10" t="s">
        <v>78</v>
      </c>
      <c r="O10" t="s">
        <v>85</v>
      </c>
      <c r="P10" t="s">
        <v>87</v>
      </c>
      <c r="Q10" t="s">
        <v>76</v>
      </c>
    </row>
    <row r="11" spans="1:17" x14ac:dyDescent="0.25">
      <c r="A11" t="s">
        <v>34</v>
      </c>
      <c r="B11" s="15" t="str">
        <f>IF('Vote et Résultats'!$N$4="Valide",IF(COUNTIF($L3:$L7,"gagnante*"),"",IF(COUNTIF($L3,"éliminée*"),"",B3-(IF(AND(COUNTIF($L4,"éliminée*"),B3&gt;B$4),1,0)+IF(AND(COUNTIF($L5,"éliminée*"),B3&gt;B$5),1,0)+IF(AND(COUNTIF($L6,"éliminée*"),B3&gt;B$6),1,0)+IF(AND(COUNTIF($L7,"éliminée*"),B3&gt;B$7),1,0)))),"")</f>
        <v/>
      </c>
      <c r="C11" s="15" t="str">
        <f>IF('Vote et Résultats'!$N$5="Valide",IF(COUNTIF($L3:$L7,"gagnante*"),"",IF(COUNTIF($L3,"éliminée*"),"",C3-(IF(AND(COUNTIF($L4,"éliminée*"),C3&gt;C$4),1,0)+IF(AND(COUNTIF($L5,"éliminée*"),C3&gt;C$5),1,0)+IF(AND(COUNTIF($L6,"éliminée*"),C3&gt;C$6),1,0)+IF(AND(COUNTIF($L7,"éliminée*"),C3&gt;C$7),1,0)))),"")</f>
        <v/>
      </c>
      <c r="D11" s="15" t="str">
        <f>IF('Vote et Résultats'!$N$6="Valide",IF(COUNTIF($L3:$L7,"gagnante*"),"",IF(COUNTIF($L3,"éliminée*"),"",D3-(IF(AND(COUNTIF($L4,"éliminée*"),D3&gt;D$4),1,0)+IF(AND(COUNTIF($L5,"éliminée*"),D3&gt;D$5),1,0)+IF(AND(COUNTIF($L6,"éliminée*"),D3&gt;D$6),1,0)+IF(AND(COUNTIF($L7,"éliminée*"),D3&gt;D$7),1,0)))),"")</f>
        <v/>
      </c>
      <c r="E11" s="15" t="str">
        <f>IF('Vote et Résultats'!$N$7="Valide",IF(COUNTIF($L3:$L7,"gagnante*"),"",IF(COUNTIF($L3,"éliminée*"),"",E3-(IF(AND(COUNTIF($L4,"éliminée*"),E3&gt;E$4),1,0)+IF(AND(COUNTIF($L5,"éliminée*"),E3&gt;E$5),1,0)+IF(AND(COUNTIF($L6,"éliminée*"),E3&gt;E$6),1,0)+IF(AND(COUNTIF($L7,"éliminée*"),E3&gt;E$7),1,0)))),"")</f>
        <v/>
      </c>
      <c r="F11" s="15" t="str">
        <f>IF('Vote et Résultats'!$N$8="Valide",IF(COUNTIF($L3:$L7,"gagnante*"),"",IF(COUNTIF($L3,"éliminée*"),"",F3-(IF(AND(COUNTIF($L4,"éliminée*"),F3&gt;F$4),1,0)+IF(AND(COUNTIF($L5,"éliminée*"),F3&gt;F$5),1,0)+IF(AND(COUNTIF($L6,"éliminée*"),F3&gt;F$6),1,0)+IF(AND(COUNTIF($L7,"éliminée*"),F3&gt;F$7),1,0)))),"")</f>
        <v/>
      </c>
      <c r="G11" s="15" t="str">
        <f>IF('Vote et Résultats'!$N$9="Valide",IF(COUNTIF($L3:$L7,"gagnante*"),"",IF(COUNTIF($L3,"éliminée*"),"",G3-(IF(AND(COUNTIF($L4,"éliminée*"),G3&gt;G$4),1,0)+IF(AND(COUNTIF($L5,"éliminée*"),G3&gt;G$5),1,0)+IF(AND(COUNTIF($L6,"éliminée*"),G3&gt;G$6),1,0)+IF(AND(COUNTIF($L7,"éliminée*"),G3&gt;G$7),1,0)))),"")</f>
        <v/>
      </c>
      <c r="H11" s="15" t="str">
        <f>IF('Vote et Résultats'!$N$10="Valide",IF(COUNTIF($L3:$L7,"gagnante*"),"",IF(COUNTIF($L3,"éliminée*"),"",H3-(IF(AND(COUNTIF($L4,"éliminée*"),H3&gt;H$4),1,0)+IF(AND(COUNTIF($L5,"éliminée*"),H3&gt;H$5),1,0)+IF(AND(COUNTIF($L6,"éliminée*"),H3&gt;H$6),1,0)+IF(AND(COUNTIF($L7,"éliminée*"),H3&gt;H$7),1,0)))),"")</f>
        <v/>
      </c>
      <c r="I11" s="15" t="str">
        <f>IF('Vote et Résultats'!$N$11="Valide",IF(COUNTIF($L3:$L7,"gagnante*"),"",IF(COUNTIF($L3,"éliminée*"),"",I3-(IF(AND(COUNTIF($L4,"éliminée*"),I3&gt;I$4),1,0)+IF(AND(COUNTIF($L5,"éliminée*"),I3&gt;I$5),1,0)+IF(AND(COUNTIF($L6,"éliminée*"),I3&gt;I$6),1,0)+IF(AND(COUNTIF($L7,"éliminée*"),I3&gt;I$7),1,0)))),"")</f>
        <v/>
      </c>
      <c r="J11" s="15" t="str">
        <f>IF('Vote et Résultats'!$N$12="Valide",IF(COUNTIF($L3:$L7,"gagnante*"),"",IF(COUNTIF($L3,"éliminée*"),"",J3-(IF(AND(COUNTIF($L4,"éliminée*"),J3&gt;J$4),1,0)+IF(AND(COUNTIF($L5,"éliminée*"),J3&gt;J$5),1,0)+IF(AND(COUNTIF($L6,"éliminée*"),J3&gt;J$6),1,0)+IF(AND(COUNTIF($L7,"éliminée*"),J3&gt;J$7),1,0)))),"")</f>
        <v/>
      </c>
      <c r="K11" s="15" t="str">
        <f>IF('Vote et Résultats'!$N$13="Valide",IF(COUNTIF($L3:$L7,"gagnante*"),"",IF(COUNTIF($L3,"éliminée*"),"",K3-(IF(AND(COUNTIF($L4,"éliminée*"),K3&gt;K$4),1,0)+IF(AND(COUNTIF($L5,"éliminée*"),K3&gt;K$5),1,0)+IF(AND(COUNTIF($L6,"éliminée*"),K3&gt;K$6),1,0)+IF(AND(COUNTIF($L7,"éliminée*"),K3&gt;K$7),1,0)))),"")</f>
        <v/>
      </c>
      <c r="L11" t="str">
        <f>IF(L3&lt;&gt;"",L3,IF(N11&gt;=6,"gagnante tour "&amp;M11,IF(OR(COUNTIF(N11:N15,"&gt;=6"),O11=MAX(O11:O15)),"éliminée tour "&amp;M11,"")))</f>
        <v>gagnante tour 1</v>
      </c>
      <c r="M11">
        <v>2</v>
      </c>
      <c r="N11" t="str">
        <f>IF(L3&lt;&gt;"","",COUNTIF(B11:K11,1))</f>
        <v/>
      </c>
      <c r="O11" t="str">
        <f>IF(L3&lt;&gt;"","",COUNTIF(B11,B16)+COUNTIF(C11,C16)+COUNTIF(D11,D16)+COUNTIF(E11,E16)+COUNTIF(F11,F16)+COUNTIF(G11,G16)+COUNTIF(H11,H16)+COUNTIF(I11,I16)+COUNTIF(J11,J16)+COUNTIF(K11,K16))</f>
        <v/>
      </c>
      <c r="P11" t="str">
        <f>IF(N11="","",RANK(N11,N11:N15))</f>
        <v/>
      </c>
      <c r="Q11">
        <f>IF(Q3&lt;&gt;"",Q3,IF(COUNTIF($L11:$L15,"gagnante*"),IF(P11&lt;&gt;"",P11,MAX(P11:P15)+RIGHT(L11,1)),""))</f>
        <v>1</v>
      </c>
    </row>
    <row r="12" spans="1:17" x14ac:dyDescent="0.25">
      <c r="A12" t="s">
        <v>0</v>
      </c>
      <c r="B12" s="15" t="str">
        <f>IF('Vote et Résultats'!$N$4="Valide",IF(COUNTIF($L3:$L7,"gagnante*"),"",IF(COUNTIF($L4,"éliminée*"),"",B4-(IF(AND(COUNTIF($L3,"éliminée*"),B4&gt;B$3),1,0)+IF(AND(COUNTIF($L5,"éliminée*"),B4&gt;B$5),1,0)+IF(AND(COUNTIF($L6,"éliminée*"),B4&gt;B$6),1,0)+IF(AND(COUNTIF($L7,"éliminée*"),B4&gt;B$7),1,0)))),"")</f>
        <v/>
      </c>
      <c r="C12" s="15" t="str">
        <f>IF('Vote et Résultats'!$N$5="Valide",IF(COUNTIF($L3:$L7,"gagnante*"),"",IF(COUNTIF($L4,"éliminée*"),"",C4-(IF(AND(COUNTIF($L3,"éliminée*"),C4&gt;C$3),1,0)+IF(AND(COUNTIF($L5,"éliminée*"),C4&gt;C$5),1,0)+IF(AND(COUNTIF($L6,"éliminée*"),C4&gt;C$6),1,0)+IF(AND(COUNTIF($L7,"éliminée*"),C4&gt;C$7),1,0)))),"")</f>
        <v/>
      </c>
      <c r="D12" s="15" t="str">
        <f>IF('Vote et Résultats'!$N$6="Valide",IF(COUNTIF($L3:$L7,"gagnante*"),"",IF(COUNTIF($L4,"éliminée*"),"",D4-(IF(AND(COUNTIF($L3,"éliminée*"),D4&gt;D$3),1,0)+IF(AND(COUNTIF($L5,"éliminée*"),D4&gt;D$5),1,0)+IF(AND(COUNTIF($L6,"éliminée*"),D4&gt;D$6),1,0)+IF(AND(COUNTIF($L7,"éliminée*"),D4&gt;D$7),1,0)))),"")</f>
        <v/>
      </c>
      <c r="E12" s="15" t="str">
        <f>IF('Vote et Résultats'!$N$7="Valide",IF(COUNTIF($L3:$L7,"gagnante*"),"",IF(COUNTIF($L4,"éliminée*"),"",E4-(IF(AND(COUNTIF($L3,"éliminée*"),E4&gt;E$3),1,0)+IF(AND(COUNTIF($L5,"éliminée*"),E4&gt;E$5),1,0)+IF(AND(COUNTIF($L6,"éliminée*"),E4&gt;E$6),1,0)+IF(AND(COUNTIF($L7,"éliminée*"),E4&gt;E$7),1,0)))),"")</f>
        <v/>
      </c>
      <c r="F12" s="15" t="str">
        <f>IF('Vote et Résultats'!$N$8="Valide",IF(COUNTIF($L3:$L7,"gagnante*"),"",IF(COUNTIF($L4,"éliminée*"),"",F4-(IF(AND(COUNTIF($L3,"éliminée*"),F4&gt;F$3),1,0)+IF(AND(COUNTIF($L5,"éliminée*"),F4&gt;F$5),1,0)+IF(AND(COUNTIF($L6,"éliminée*"),F4&gt;F$6),1,0)+IF(AND(COUNTIF($L7,"éliminée*"),F4&gt;F$7),1,0)))),"")</f>
        <v/>
      </c>
      <c r="G12" s="15" t="str">
        <f>IF('Vote et Résultats'!$N$9="Valide",IF(COUNTIF($L3:$L7,"gagnante*"),"",IF(COUNTIF($L4,"éliminée*"),"",G4-(IF(AND(COUNTIF($L3,"éliminée*"),G4&gt;G$3),1,0)+IF(AND(COUNTIF($L5,"éliminée*"),G4&gt;G$5),1,0)+IF(AND(COUNTIF($L6,"éliminée*"),G4&gt;G$6),1,0)+IF(AND(COUNTIF($L7,"éliminée*"),G4&gt;G$7),1,0)))),"")</f>
        <v/>
      </c>
      <c r="H12" s="15" t="str">
        <f>IF('Vote et Résultats'!$N$10="Valide",IF(COUNTIF($L3:$L7,"gagnante*"),"",IF(COUNTIF($L4,"éliminée*"),"",H4-(IF(AND(COUNTIF($L3,"éliminée*"),H4&gt;H$3),1,0)+IF(AND(COUNTIF($L5,"éliminée*"),H4&gt;H$5),1,0)+IF(AND(COUNTIF($L6,"éliminée*"),H4&gt;H$6),1,0)+IF(AND(COUNTIF($L7,"éliminée*"),H4&gt;H$7),1,0)))),"")</f>
        <v/>
      </c>
      <c r="I12" s="15" t="str">
        <f>IF('Vote et Résultats'!$N$11="Valide",IF(COUNTIF($L3:$L7,"gagnante*"),"",IF(COUNTIF($L4,"éliminée*"),"",I4-(IF(AND(COUNTIF($L3,"éliminée*"),I4&gt;I$3),1,0)+IF(AND(COUNTIF($L5,"éliminée*"),I4&gt;I$5),1,0)+IF(AND(COUNTIF($L6,"éliminée*"),I4&gt;I$6),1,0)+IF(AND(COUNTIF($L7,"éliminée*"),I4&gt;I$7),1,0)))),"")</f>
        <v/>
      </c>
      <c r="J12" s="15" t="str">
        <f>IF('Vote et Résultats'!$N$12="Valide",IF(COUNTIF($L3:$L7,"gagnante*"),"",IF(COUNTIF($L4,"éliminée*"),"",J4-(IF(AND(COUNTIF($L3,"éliminée*"),J4&gt;J$3),1,0)+IF(AND(COUNTIF($L5,"éliminée*"),J4&gt;J$5),1,0)+IF(AND(COUNTIF($L6,"éliminée*"),J4&gt;J$6),1,0)+IF(AND(COUNTIF($L7,"éliminée*"),J4&gt;J$7),1,0)))),"")</f>
        <v/>
      </c>
      <c r="K12" s="15" t="str">
        <f>IF('Vote et Résultats'!$N$13="Valide",IF(COUNTIF($L3:$L7,"gagnante*"),"",IF(COUNTIF($L4,"éliminée*"),"",K4-(IF(AND(COUNTIF($L3,"éliminée*"),K4&gt;K$3),1,0)+IF(AND(COUNTIF($L5,"éliminée*"),K4&gt;K$5),1,0)+IF(AND(COUNTIF($L6,"éliminée*"),K4&gt;K$6),1,0)+IF(AND(COUNTIF($L7,"éliminée*"),K4&gt;K$7),1,0)))),"")</f>
        <v/>
      </c>
      <c r="L12" t="str">
        <f>IF(L4&lt;&gt;"",L4,IF(N12&gt;=6,"gagnante tour "&amp;M12,IF(OR(COUNTIF(N11:N15,"&gt;=6"),O12=MAX(O11:O15)),"éliminée tour "&amp;M12,"")))</f>
        <v>éliminée tour 1</v>
      </c>
      <c r="M12">
        <v>2</v>
      </c>
      <c r="N12" t="str">
        <f t="shared" ref="N12:N15" si="1">IF(L4&lt;&gt;"","",COUNTIF(B12:K12,1))</f>
        <v/>
      </c>
      <c r="O12" t="str">
        <f>IF(L4&lt;&gt;"","",COUNTIF(B12,B16)+COUNTIF(C12,C16)+COUNTIF(D12,D16)+COUNTIF(E12,E16)+COUNTIF(F12,F16)+COUNTIF(G12,G16)+COUNTIF(H12,H16)+COUNTIF(I12,I16)+COUNTIF(J12,J16)+COUNTIF(K12,K16))</f>
        <v/>
      </c>
      <c r="P12" t="str">
        <f>IF(N12="","",RANK(N12,N11:N15))</f>
        <v/>
      </c>
      <c r="Q12">
        <f>IF(Q4&lt;&gt;"",Q4,IF(COUNTIF($L11:$L15,"gagnante*"),IF(P12&lt;&gt;"",P12,MAX(P11:P15)+RIGHT(L12,1)),""))</f>
        <v>2</v>
      </c>
    </row>
    <row r="13" spans="1:17" x14ac:dyDescent="0.25">
      <c r="A13" t="s">
        <v>1</v>
      </c>
      <c r="B13" s="15" t="str">
        <f>IF('Vote et Résultats'!$N$4="Valide",IF(COUNTIF($L3:$L7,"gagnante*"),"",IF(COUNTIF($L5,"éliminée*"),"",B5-(IF(AND(COUNTIF($L3,"éliminée*"),B5&gt;B$3),1,0)+IF(AND(COUNTIF($L4,"éliminée*"),B5&gt;B$4),1,0)+IF(AND(COUNTIF($L6,"éliminée*"),B5&gt;B$6),1,0)+IF(AND(COUNTIF($L7,"éliminée*"),B5&gt;B$7),1,0)))),"")</f>
        <v/>
      </c>
      <c r="C13" s="15" t="str">
        <f>IF('Vote et Résultats'!$N$5="Valide",IF(COUNTIF($L3:$L7,"gagnante*"),"",IF(COUNTIF($L5,"éliminée*"),"",C5-(IF(AND(COUNTIF($L3,"éliminée*"),C5&gt;C$3),1,0)+IF(AND(COUNTIF($L4,"éliminée*"),C5&gt;C$4),1,0)+IF(AND(COUNTIF($L6,"éliminée*"),C5&gt;C$6),1,0)+IF(AND(COUNTIF($L7,"éliminée*"),C5&gt;C$7),1,0)))),"")</f>
        <v/>
      </c>
      <c r="D13" s="15" t="str">
        <f>IF('Vote et Résultats'!$N$6="Valide",IF(COUNTIF($L3:$L7,"gagnante*"),"",IF(COUNTIF($L5,"éliminée*"),"",D5-(IF(AND(COUNTIF($L3,"éliminée*"),D5&gt;D$3),1,0)+IF(AND(COUNTIF($L4,"éliminée*"),D5&gt;D$4),1,0)+IF(AND(COUNTIF($L6,"éliminée*"),D5&gt;D$6),1,0)+IF(AND(COUNTIF($L7,"éliminée*"),D5&gt;D$7),1,0)))),"")</f>
        <v/>
      </c>
      <c r="E13" s="15" t="str">
        <f>IF('Vote et Résultats'!$N$7="Valide",IF(COUNTIF($L3:$L7,"gagnante*"),"",IF(COUNTIF($L5,"éliminée*"),"",E5-(IF(AND(COUNTIF($L3,"éliminée*"),E5&gt;E$3),1,0)+IF(AND(COUNTIF($L4,"éliminée*"),E5&gt;E$4),1,0)+IF(AND(COUNTIF($L6,"éliminée*"),E5&gt;E$6),1,0)+IF(AND(COUNTIF($L7,"éliminée*"),E5&gt;E$7),1,0)))),"")</f>
        <v/>
      </c>
      <c r="F13" s="15" t="str">
        <f>IF('Vote et Résultats'!$N$8="Valide",IF(COUNTIF($L3:$L7,"gagnante*"),"",IF(COUNTIF($L5,"éliminée*"),"",F5-(IF(AND(COUNTIF($L3,"éliminée*"),F5&gt;F$3),1,0)+IF(AND(COUNTIF($L4,"éliminée*"),F5&gt;F$4),1,0)+IF(AND(COUNTIF($L6,"éliminée*"),F5&gt;F$6),1,0)+IF(AND(COUNTIF($L7,"éliminée*"),F5&gt;F$7),1,0)))),"")</f>
        <v/>
      </c>
      <c r="G13" s="15" t="str">
        <f>IF('Vote et Résultats'!$N$9="Valide",IF(COUNTIF($L3:$L7,"gagnante*"),"",IF(COUNTIF($L5,"éliminée*"),"",G5-(IF(AND(COUNTIF($L3,"éliminée*"),G5&gt;G$3),1,0)+IF(AND(COUNTIF($L4,"éliminée*"),G5&gt;G$4),1,0)+IF(AND(COUNTIF($L6,"éliminée*"),G5&gt;G$6),1,0)+IF(AND(COUNTIF($L7,"éliminée*"),G5&gt;G$7),1,0)))),"")</f>
        <v/>
      </c>
      <c r="H13" s="15" t="str">
        <f>IF('Vote et Résultats'!$N$10="Valide",IF(COUNTIF($L3:$L7,"gagnante*"),"",IF(COUNTIF($L5,"éliminée*"),"",H5-(IF(AND(COUNTIF($L3,"éliminée*"),H5&gt;H$3),1,0)+IF(AND(COUNTIF($L4,"éliminée*"),H5&gt;H$4),1,0)+IF(AND(COUNTIF($L6,"éliminée*"),H5&gt;H$6),1,0)+IF(AND(COUNTIF($L7,"éliminée*"),H5&gt;H$7),1,0)))),"")</f>
        <v/>
      </c>
      <c r="I13" s="15" t="str">
        <f>IF('Vote et Résultats'!$N$11="Valide",IF(COUNTIF($L3:$L7,"gagnante*"),"",IF(COUNTIF($L5,"éliminée*"),"",I5-(IF(AND(COUNTIF($L3,"éliminée*"),I5&gt;I$3),1,0)+IF(AND(COUNTIF($L4,"éliminée*"),I5&gt;I$4),1,0)+IF(AND(COUNTIF($L6,"éliminée*"),I5&gt;I$6),1,0)+IF(AND(COUNTIF($L7,"éliminée*"),I5&gt;I$7),1,0)))),"")</f>
        <v/>
      </c>
      <c r="J13" s="15" t="str">
        <f>IF('Vote et Résultats'!$N$12="Valide",IF(COUNTIF($L3:$L7,"gagnante*"),"",IF(COUNTIF($L5,"éliminée*"),"",J5-(IF(AND(COUNTIF($L3,"éliminée*"),J5&gt;J$3),1,0)+IF(AND(COUNTIF($L4,"éliminée*"),J5&gt;J$4),1,0)+IF(AND(COUNTIF($L6,"éliminée*"),J5&gt;J$6),1,0)+IF(AND(COUNTIF($L7,"éliminée*"),J5&gt;J$7),1,0)))),"")</f>
        <v/>
      </c>
      <c r="K13" s="15" t="str">
        <f>IF('Vote et Résultats'!$N$13="Valide",IF(COUNTIF($L3:$L7,"gagnante*"),"",IF(COUNTIF($L5,"éliminée*"),"",K5-(IF(AND(COUNTIF($L3,"éliminée*"),K5&gt;K$3),1,0)+IF(AND(COUNTIF($L4,"éliminée*"),K5&gt;K$4),1,0)+IF(AND(COUNTIF($L6,"éliminée*"),K5&gt;K$6),1,0)+IF(AND(COUNTIF($L7,"éliminée*"),K5&gt;K$7),1,0)))),"")</f>
        <v/>
      </c>
      <c r="L13" t="str">
        <f>IF(L5&lt;&gt;"",L5,IF(N13&gt;=6,"gagnante tour "&amp;M13,IF(OR(COUNTIF(N11:N15,"&gt;=6"),O13=MAX(O11:O15)),"éliminée tour "&amp;M13,"")))</f>
        <v>éliminée tour 1</v>
      </c>
      <c r="M13">
        <v>2</v>
      </c>
      <c r="N13" t="str">
        <f t="shared" si="1"/>
        <v/>
      </c>
      <c r="O13" t="str">
        <f>IF(L5&lt;&gt;"","",COUNTIF(B13,B16)+COUNTIF(C13,C16)+COUNTIF(D13,D16)+COUNTIF(E13,E16)+COUNTIF(F13,F16)+COUNTIF(G13,G16)+COUNTIF(H13,H16)+COUNTIF(I13,I16)+COUNTIF(J13,J16)+COUNTIF(K13,K16))</f>
        <v/>
      </c>
      <c r="P13" t="str">
        <f>IF(N13="","",RANK(N13,N11:N15))</f>
        <v/>
      </c>
      <c r="Q13">
        <f>IF(Q5&lt;&gt;"",Q5,IF(COUNTIF($L11:$L15,"gagnante*"),IF(P13&lt;&gt;"",P13,MAX(P11:P15)+RIGHT(L13,1)),""))</f>
        <v>4</v>
      </c>
    </row>
    <row r="14" spans="1:17" x14ac:dyDescent="0.25">
      <c r="A14" t="s">
        <v>2</v>
      </c>
      <c r="B14" s="15" t="str">
        <f>IF('Vote et Résultats'!$N$4="Valide",IF(COUNTIF($L3:$L7,"gagnante*"),"",IF(COUNTIF($L6,"éliminée*"),"",B6-(IF(AND(COUNTIF($L3,"éliminée*"),B6&gt;B$3),1,0)+IF(AND(COUNTIF($L4,"éliminée*"),B6&gt;B$4),1,0)+IF(AND(COUNTIF($L5,"éliminée*"),B6&gt;B$5),1,0)+IF(AND(COUNTIF($L7,"éliminée*"),B6&gt;B$7),1,0)))),"")</f>
        <v/>
      </c>
      <c r="C14" s="15" t="str">
        <f>IF('Vote et Résultats'!$N$5="Valide",IF(COUNTIF($L3:$L7,"gagnante*"),"",IF(COUNTIF($L6,"éliminée*"),"",C6-(IF(AND(COUNTIF($L3,"éliminée*"),C6&gt;C$3),1,0)+IF(AND(COUNTIF($L4,"éliminée*"),C6&gt;C$4),1,0)+IF(AND(COUNTIF($L5,"éliminée*"),C6&gt;C$5),1,0)+IF(AND(COUNTIF($L7,"éliminée*"),C6&gt;C$7),1,0)))),"")</f>
        <v/>
      </c>
      <c r="D14" s="15" t="str">
        <f>IF('Vote et Résultats'!$N$6="Valide",IF(COUNTIF($L3:$L7,"gagnante*"),"",IF(COUNTIF($L6,"éliminée*"),"",D6-(IF(AND(COUNTIF($L3,"éliminée*"),D6&gt;D$3),1,0)+IF(AND(COUNTIF($L4,"éliminée*"),D6&gt;D$4),1,0)+IF(AND(COUNTIF($L5,"éliminée*"),D6&gt;D$5),1,0)+IF(AND(COUNTIF($L7,"éliminée*"),D6&gt;D$7),1,0)))),"")</f>
        <v/>
      </c>
      <c r="E14" s="15" t="str">
        <f>IF('Vote et Résultats'!$N$7="Valide",IF(COUNTIF($L3:$L7,"gagnante*"),"",IF(COUNTIF($L6,"éliminée*"),"",E6-(IF(AND(COUNTIF($L3,"éliminée*"),E6&gt;E$3),1,0)+IF(AND(COUNTIF($L4,"éliminée*"),E6&gt;E$4),1,0)+IF(AND(COUNTIF($L5,"éliminée*"),E6&gt;E$5),1,0)+IF(AND(COUNTIF($L7,"éliminée*"),E6&gt;E$7),1,0)))),"")</f>
        <v/>
      </c>
      <c r="F14" s="15" t="str">
        <f>IF('Vote et Résultats'!$N$8="Valide",IF(COUNTIF($L3:$L7,"gagnante*"),"",IF(COUNTIF($L6,"éliminée*"),"",F6-(IF(AND(COUNTIF($L3,"éliminée*"),F6&gt;F$3),1,0)+IF(AND(COUNTIF($L4,"éliminée*"),F6&gt;F$4),1,0)+IF(AND(COUNTIF($L5,"éliminée*"),F6&gt;F$5),1,0)+IF(AND(COUNTIF($L7,"éliminée*"),F6&gt;F$7),1,0)))),"")</f>
        <v/>
      </c>
      <c r="G14" s="15" t="str">
        <f>IF('Vote et Résultats'!$N$9="Valide",IF(COUNTIF($L3:$L7,"gagnante*"),"",IF(COUNTIF($L6,"éliminée*"),"",G6-(IF(AND(COUNTIF($L3,"éliminée*"),G6&gt;G$3),1,0)+IF(AND(COUNTIF($L4,"éliminée*"),G6&gt;G$4),1,0)+IF(AND(COUNTIF($L5,"éliminée*"),G6&gt;G$5),1,0)+IF(AND(COUNTIF($L7,"éliminée*"),G6&gt;G$7),1,0)))),"")</f>
        <v/>
      </c>
      <c r="H14" s="15" t="str">
        <f>IF('Vote et Résultats'!$N$10="Valide",IF(COUNTIF($L3:$L7,"gagnante*"),"",IF(COUNTIF($L6,"éliminée*"),"",H6-(IF(AND(COUNTIF($L3,"éliminée*"),H6&gt;H$3),1,0)+IF(AND(COUNTIF($L4,"éliminée*"),H6&gt;H$4),1,0)+IF(AND(COUNTIF($L5,"éliminée*"),H6&gt;H$5),1,0)+IF(AND(COUNTIF($L7,"éliminée*"),H6&gt;H$7),1,0)))),"")</f>
        <v/>
      </c>
      <c r="I14" s="15" t="str">
        <f>IF('Vote et Résultats'!$N$11="Valide",IF(COUNTIF($L3:$L7,"gagnante*"),"",IF(COUNTIF($L6,"éliminée*"),"",I6-(IF(AND(COUNTIF($L3,"éliminée*"),I6&gt;I$3),1,0)+IF(AND(COUNTIF($L4,"éliminée*"),I6&gt;I$4),1,0)+IF(AND(COUNTIF($L5,"éliminée*"),I6&gt;I$5),1,0)+IF(AND(COUNTIF($L7,"éliminée*"),I6&gt;I$7),1,0)))),"")</f>
        <v/>
      </c>
      <c r="J14" s="15" t="str">
        <f>IF('Vote et Résultats'!$N$12="Valide",IF(COUNTIF($L3:$L7,"gagnante*"),"",IF(COUNTIF($L6,"éliminée*"),"",J6-(IF(AND(COUNTIF($L3,"éliminée*"),J6&gt;J$3),1,0)+IF(AND(COUNTIF($L4,"éliminée*"),J6&gt;J$4),1,0)+IF(AND(COUNTIF($L5,"éliminée*"),J6&gt;J$5),1,0)+IF(AND(COUNTIF($L7,"éliminée*"),J6&gt;J$7),1,0)))),"")</f>
        <v/>
      </c>
      <c r="K14" s="15" t="str">
        <f>IF('Vote et Résultats'!$N$13="Valide",IF(COUNTIF($L3:$L7,"gagnante*"),"",IF(COUNTIF($L6,"éliminée*"),"",K6-(IF(AND(COUNTIF($L3,"éliminée*"),K6&gt;K$3),1,0)+IF(AND(COUNTIF($L4,"éliminée*"),K6&gt;K$4),1,0)+IF(AND(COUNTIF($L5,"éliminée*"),K6&gt;K$5),1,0)+IF(AND(COUNTIF($L7,"éliminée*"),K6&gt;K$7),1,0)))),"")</f>
        <v/>
      </c>
      <c r="L14" t="str">
        <f>IF(L6&lt;&gt;"",L6,IF(N14&gt;=6,"gagnante tour "&amp;M14,IF(OR(COUNTIF(N11:N15,"&gt;=6"),O14=MAX(O11:O15)),"éliminée tour "&amp;M14,"")))</f>
        <v>éliminée tour 1</v>
      </c>
      <c r="M14">
        <v>2</v>
      </c>
      <c r="N14" t="str">
        <f t="shared" si="1"/>
        <v/>
      </c>
      <c r="O14" t="str">
        <f>IF(L6&lt;&gt;"","",COUNTIF(B14,B16)+COUNTIF(C14,C16)+COUNTIF(D14,D16)+COUNTIF(E14,E16)+COUNTIF(F14,F16)+COUNTIF(G14,G16)+COUNTIF(H14,H16)+COUNTIF(I14,I16)+COUNTIF(J14,J16)+COUNTIF(K14,K16))</f>
        <v/>
      </c>
      <c r="P14" t="str">
        <f>IF(N14="","",RANK(N14,N11:N15))</f>
        <v/>
      </c>
      <c r="Q14">
        <f>IF(Q6&lt;&gt;"",Q6,IF(COUNTIF($L11:$L15,"gagnante*"),IF(P14&lt;&gt;"",P14,MAX(P11:P15)+RIGHT(L14,1)),""))</f>
        <v>3</v>
      </c>
    </row>
    <row r="15" spans="1:17" x14ac:dyDescent="0.25">
      <c r="A15" t="s">
        <v>3</v>
      </c>
      <c r="B15" s="15" t="str">
        <f>IF('Vote et Résultats'!$N$4="Valide",IF(COUNTIF($L3:$L7,"gagnante*"),"",IF(COUNTIF($L7,"éliminée*"),"",B7-(IF(AND(COUNTIF($L3,"éliminée*"),B7&gt;B$3),1,0)+IF(AND(COUNTIF($L4,"éliminée*"),B7&gt;B$4),1,0)+IF(AND(COUNTIF($L5,"éliminée*"),B7&gt;B$5),1,0)+IF(AND(COUNTIF($L6,"éliminée*"),B7&gt;B$6),1,0)))),"")</f>
        <v/>
      </c>
      <c r="C15" s="15" t="str">
        <f>IF('Vote et Résultats'!$N$5="Valide",IF(COUNTIF($L3:$L7,"gagnante*"),"",IF(COUNTIF($L7,"éliminée*"),"",C7-(IF(AND(COUNTIF($L3,"éliminée*"),C7&gt;C$3),1,0)+IF(AND(COUNTIF($L4,"éliminée*"),C7&gt;C$4),1,0)+IF(AND(COUNTIF($L5,"éliminée*"),C7&gt;C$5),1,0)+IF(AND(COUNTIF($L6,"éliminée*"),C7&gt;C$6),1,0)))),"")</f>
        <v/>
      </c>
      <c r="D15" s="15" t="str">
        <f>IF('Vote et Résultats'!$N$6="Valide",IF(COUNTIF($L3:$L7,"gagnante*"),"",IF(COUNTIF($L7,"éliminée*"),"",D7-(IF(AND(COUNTIF($L3,"éliminée*"),D7&gt;D$3),1,0)+IF(AND(COUNTIF($L4,"éliminée*"),D7&gt;D$4),1,0)+IF(AND(COUNTIF($L5,"éliminée*"),D7&gt;D$5),1,0)+IF(AND(COUNTIF($L6,"éliminée*"),D7&gt;D$6),1,0)))),"")</f>
        <v/>
      </c>
      <c r="E15" s="15" t="str">
        <f>IF('Vote et Résultats'!$N$7="Valide",IF(COUNTIF($L3:$L7,"gagnante*"),"",IF(COUNTIF($L7,"éliminée*"),"",E7-(IF(AND(COUNTIF($L3,"éliminée*"),E7&gt;E$3),1,0)+IF(AND(COUNTIF($L4,"éliminée*"),E7&gt;E$4),1,0)+IF(AND(COUNTIF($L5,"éliminée*"),E7&gt;E$5),1,0)+IF(AND(COUNTIF($L6,"éliminée*"),E7&gt;E$6),1,0)))),"")</f>
        <v/>
      </c>
      <c r="F15" s="15" t="str">
        <f>IF('Vote et Résultats'!$N$8="Valide",IF(COUNTIF($L3:$L7,"gagnante*"),"",IF(COUNTIF($L7,"éliminée*"),"",F7-(IF(AND(COUNTIF($L3,"éliminée*"),F7&gt;F$3),1,0)+IF(AND(COUNTIF($L4,"éliminée*"),F7&gt;F$4),1,0)+IF(AND(COUNTIF($L5,"éliminée*"),F7&gt;F$5),1,0)+IF(AND(COUNTIF($L6,"éliminée*"),F7&gt;F$6),1,0)))),"")</f>
        <v/>
      </c>
      <c r="G15" s="15" t="str">
        <f>IF('Vote et Résultats'!$N$9="Valide",IF(COUNTIF($L3:$L7,"gagnante*"),"",IF(COUNTIF($L7,"éliminée*"),"",G7-(IF(AND(COUNTIF($L3,"éliminée*"),G7&gt;G$3),1,0)+IF(AND(COUNTIF($L4,"éliminée*"),G7&gt;G$4),1,0)+IF(AND(COUNTIF($L5,"éliminée*"),G7&gt;G$5),1,0)+IF(AND(COUNTIF($L6,"éliminée*"),G7&gt;G$6),1,0)))),"")</f>
        <v/>
      </c>
      <c r="H15" s="15" t="str">
        <f>IF('Vote et Résultats'!$N$10="Valide",IF(COUNTIF($L3:$L7,"gagnante*"),"",IF(COUNTIF($L7,"éliminée*"),"",H7-(IF(AND(COUNTIF($L3,"éliminée*"),H7&gt;H$3),1,0)+IF(AND(COUNTIF($L4,"éliminée*"),H7&gt;H$4),1,0)+IF(AND(COUNTIF($L5,"éliminée*"),H7&gt;H$5),1,0)+IF(AND(COUNTIF($L6,"éliminée*"),H7&gt;H$6),1,0)))),"")</f>
        <v/>
      </c>
      <c r="I15" s="15" t="str">
        <f>IF('Vote et Résultats'!$N$11="Valide",IF(COUNTIF($L3:$L7,"gagnante*"),"",IF(COUNTIF($L7,"éliminée*"),"",I7-(IF(AND(COUNTIF($L3,"éliminée*"),I7&gt;I$3),1,0)+IF(AND(COUNTIF($L4,"éliminée*"),I7&gt;I$4),1,0)+IF(AND(COUNTIF($L5,"éliminée*"),I7&gt;I$5),1,0)+IF(AND(COUNTIF($L6,"éliminée*"),I7&gt;I$6),1,0)))),"")</f>
        <v/>
      </c>
      <c r="J15" s="15" t="str">
        <f>IF('Vote et Résultats'!$N$12="Valide",IF(COUNTIF($L3:$L7,"gagnante*"),"",IF(COUNTIF($L7,"éliminée*"),"",J7-(IF(AND(COUNTIF($L3,"éliminée*"),J7&gt;J$3),1,0)+IF(AND(COUNTIF($L4,"éliminée*"),J7&gt;J$4),1,0)+IF(AND(COUNTIF($L5,"éliminée*"),J7&gt;J$5),1,0)+IF(AND(COUNTIF($L6,"éliminée*"),J7&gt;J$6),1,0)))),"")</f>
        <v/>
      </c>
      <c r="K15" s="15" t="str">
        <f>IF('Vote et Résultats'!$N$13="Valide",IF(COUNTIF($L3:$L7,"gagnante*"),"",IF(COUNTIF($L7,"éliminée*"),"",K7-(IF(AND(COUNTIF($L3,"éliminée*"),K7&gt;K$3),1,0)+IF(AND(COUNTIF($L4,"éliminée*"),K7&gt;K$4),1,0)+IF(AND(COUNTIF($L5,"éliminée*"),K7&gt;K$5),1,0)+IF(AND(COUNTIF($L6,"éliminée*"),K7&gt;K$6),1,0)))),"")</f>
        <v/>
      </c>
      <c r="L15" t="str">
        <f>IF(L7&lt;&gt;"",L7,IF(N15&gt;=6,"gagnante tour "&amp;M15,IF(OR(COUNTIF(N11:N15,"&gt;=6"),O15=MAX(O11:O15)),"éliminée tour "&amp;M15,"")))</f>
        <v>éliminée tour 1</v>
      </c>
      <c r="M15">
        <v>2</v>
      </c>
      <c r="N15" t="str">
        <f t="shared" si="1"/>
        <v/>
      </c>
      <c r="O15" t="str">
        <f>IF(L7&lt;&gt;"","",COUNTIF(B15,B16)+COUNTIF(C15,C16)+COUNTIF(D15,D16)+COUNTIF(E15,E16)+COUNTIF(F15,F16)+COUNTIF(G15,G16)+COUNTIF(H15,H16)+COUNTIF(I15,I16)+COUNTIF(J15,J16)+COUNTIF(K15,K16))</f>
        <v/>
      </c>
      <c r="P15" t="str">
        <f>IF(N15="","",RANK(N15,N11:N15))</f>
        <v/>
      </c>
      <c r="Q15">
        <f>IF(Q7&lt;&gt;"",Q7,IF(COUNTIF($L11:$L15,"gagnante*"),IF(P15&lt;&gt;"",P15,MAX(P11:P15)+RIGHT(L15,1)),""))</f>
        <v>4</v>
      </c>
    </row>
    <row r="16" spans="1:17" x14ac:dyDescent="0.25">
      <c r="A16" t="s">
        <v>86</v>
      </c>
      <c r="B16" s="15" t="str">
        <f>IF('Vote et Résultats'!$N$4="Valide",IF(COUNTIF($L3:$L7,"gagnante*"),"",MAX(B11:B15)),"")</f>
        <v/>
      </c>
      <c r="C16" s="15" t="str">
        <f>IF('Vote et Résultats'!$N$5="Valide",IF(COUNTIF($L3:$L7,"gagnante*"),"",MAX(C11:C15)),"")</f>
        <v/>
      </c>
      <c r="D16" s="15" t="str">
        <f>IF('Vote et Résultats'!$N$6="Valide",IF(COUNTIF($L3:$L7,"gagnante*"),"",MAX(D11:D15)),"")</f>
        <v/>
      </c>
      <c r="E16" s="15" t="str">
        <f>IF('Vote et Résultats'!$N$7="Valide",IF(COUNTIF($L3:$L7,"gagnante*"),"",MAX(E11:E15)),"")</f>
        <v/>
      </c>
      <c r="F16" s="15" t="str">
        <f>IF('Vote et Résultats'!$N$8="Valide",IF(COUNTIF($L3:$L7,"gagnante*"),"",MAX(F11:F15)),"")</f>
        <v/>
      </c>
      <c r="G16" s="15" t="str">
        <f>IF('Vote et Résultats'!$N$9="Valide",IF(COUNTIF($L3:$L7,"gagnante*"),"",MAX(G11:G15)),"")</f>
        <v/>
      </c>
      <c r="H16" s="15" t="str">
        <f>IF('Vote et Résultats'!$N$10="Valide",IF(COUNTIF($L3:$L7,"gagnante*"),"",MAX(H11:H15)),"")</f>
        <v/>
      </c>
      <c r="I16" s="15" t="str">
        <f>IF('Vote et Résultats'!$N$11="Valide",IF(COUNTIF($L3:$L7,"gagnante*"),"",MAX(I11:I15)),"")</f>
        <v/>
      </c>
      <c r="J16" s="15" t="str">
        <f>IF('Vote et Résultats'!$N$12="Valide",IF(COUNTIF($L3:$L7,"gagnante*"),"",MAX(J11:J15)),"")</f>
        <v/>
      </c>
      <c r="K16" s="15" t="str">
        <f>IF('Vote et Résultats'!$N$13="Valide",IF(COUNTIF($L3:$L7,"gagnante*"),"",MAX(K11:K15)),"")</f>
        <v/>
      </c>
    </row>
    <row r="17" spans="1:17" x14ac:dyDescent="0.25">
      <c r="A17" s="122" t="s">
        <v>91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x14ac:dyDescent="0.25">
      <c r="B18" t="str">
        <f>IF(COUNTIF(L11:L15,"gagnante*"),"","votant·e 1")</f>
        <v/>
      </c>
      <c r="C18" t="str">
        <f>IF(COUNTIF(L11:L15,"gagnante*"),"","votant·e 2")</f>
        <v/>
      </c>
      <c r="D18" t="str">
        <f>IF(COUNTIF(L11:L15,"gagnante*"),"","votant·e 3")</f>
        <v/>
      </c>
      <c r="E18" t="str">
        <f>IF(COUNTIF(L11:L15,"gagnante*"),"","votant·e 4")</f>
        <v/>
      </c>
      <c r="F18" t="str">
        <f>IF(COUNTIF(L11:L15,"gagnante*"),"","votant·e 5")</f>
        <v/>
      </c>
      <c r="G18" t="str">
        <f>IF(COUNTIF(L11:L15,"gagnante*"),"","votant·e 6")</f>
        <v/>
      </c>
      <c r="H18" t="str">
        <f>IF(COUNTIF(L11:L15,"gagnante*"),"","votant·e 7")</f>
        <v/>
      </c>
      <c r="I18" t="str">
        <f>IF(COUNTIF(L11:L15,"gagnante*"),"","votant·e 8")</f>
        <v/>
      </c>
      <c r="J18" t="str">
        <f>IF(COUNTIF(L11:L15,"gagnante*"),"","votant·e 9")</f>
        <v/>
      </c>
      <c r="K18" t="str">
        <f>IF(COUNTIF(L11:L15,"gagnante*"),"","votant·e 10")</f>
        <v/>
      </c>
      <c r="L18" t="s">
        <v>63</v>
      </c>
      <c r="M18" t="s">
        <v>77</v>
      </c>
      <c r="N18" t="s">
        <v>78</v>
      </c>
      <c r="O18" t="s">
        <v>85</v>
      </c>
      <c r="P18" t="s">
        <v>87</v>
      </c>
      <c r="Q18" t="s">
        <v>76</v>
      </c>
    </row>
    <row r="19" spans="1:17" x14ac:dyDescent="0.25">
      <c r="A19" t="s">
        <v>34</v>
      </c>
      <c r="B19" s="15" t="str">
        <f>IF('Vote et Résultats'!$N$4="Valide",IF(COUNTIF($L11:$L15,"gagnante*"),"",IF(COUNTIF($L11,"éliminée*"),"",B11-(IF(AND(COUNTIF($L12,"éliminée*"),B11&gt;B$4),1,0)+IF(AND(COUNTIF($L13,"éliminée*"),B11&gt;B$5),1,0)+IF(AND(COUNTIF($L14,"éliminée*"),B11&gt;B$6),1,0)+IF(AND(COUNTIF($L15,"éliminée*"),B11&gt;B$7),1,0)))),"")</f>
        <v/>
      </c>
      <c r="C19" s="15" t="str">
        <f>IF('Vote et Résultats'!$N$5="Valide",IF(COUNTIF($L11:$L15,"gagnante*"),"",IF(COUNTIF($L11,"éliminée*"),"",C11-(IF(AND(COUNTIF($L12,"éliminée*"),C11&gt;C$4),1,0)+IF(AND(COUNTIF($L13,"éliminée*"),C11&gt;C$5),1,0)+IF(AND(COUNTIF($L14,"éliminée*"),C11&gt;C$6),1,0)+IF(AND(COUNTIF($L15,"éliminée*"),C11&gt;C$7),1,0)))),"")</f>
        <v/>
      </c>
      <c r="D19" s="15" t="str">
        <f>IF('Vote et Résultats'!$N$6="Valide",IF(COUNTIF($L11:$L15,"gagnante*"),"",IF(COUNTIF($L11,"éliminée*"),"",D11-(IF(AND(COUNTIF($L12,"éliminée*"),D11&gt;D$4),1,0)+IF(AND(COUNTIF($L13,"éliminée*"),D11&gt;D$5),1,0)+IF(AND(COUNTIF($L14,"éliminée*"),D11&gt;D$6),1,0)+IF(AND(COUNTIF($L15,"éliminée*"),D11&gt;D$7),1,0)))),"")</f>
        <v/>
      </c>
      <c r="E19" s="15" t="str">
        <f>IF('Vote et Résultats'!$N$7="Valide",IF(COUNTIF($L11:$L15,"gagnante*"),"",IF(COUNTIF($L11,"éliminée*"),"",E11-(IF(AND(COUNTIF($L12,"éliminée*"),E11&gt;E$4),1,0)+IF(AND(COUNTIF($L13,"éliminée*"),E11&gt;E$5),1,0)+IF(AND(COUNTIF($L14,"éliminée*"),E11&gt;E$6),1,0)+IF(AND(COUNTIF($L15,"éliminée*"),E11&gt;E$7),1,0)))),"")</f>
        <v/>
      </c>
      <c r="F19" s="15" t="str">
        <f>IF('Vote et Résultats'!$N$8="Valide",IF(COUNTIF($L11:$L15,"gagnante*"),"",IF(COUNTIF($L11,"éliminée*"),"",F11-(IF(AND(COUNTIF($L12,"éliminée*"),F11&gt;F$4),1,0)+IF(AND(COUNTIF($L13,"éliminée*"),F11&gt;F$5),1,0)+IF(AND(COUNTIF($L14,"éliminée*"),F11&gt;F$6),1,0)+IF(AND(COUNTIF($L15,"éliminée*"),F11&gt;F$7),1,0)))),"")</f>
        <v/>
      </c>
      <c r="G19" s="15" t="str">
        <f>IF('Vote et Résultats'!$N$9="Valide",IF(COUNTIF($L11:$L15,"gagnante*"),"",IF(COUNTIF($L11,"éliminée*"),"",G11-(IF(AND(COUNTIF($L12,"éliminée*"),G11&gt;G$4),1,0)+IF(AND(COUNTIF($L13,"éliminée*"),G11&gt;G$5),1,0)+IF(AND(COUNTIF($L14,"éliminée*"),G11&gt;G$6),1,0)+IF(AND(COUNTIF($L15,"éliminée*"),G11&gt;G$7),1,0)))),"")</f>
        <v/>
      </c>
      <c r="H19" s="15" t="str">
        <f>IF('Vote et Résultats'!$N$10="Valide",IF(COUNTIF($L11:$L15,"gagnante*"),"",IF(COUNTIF($L11,"éliminée*"),"",H11-(IF(AND(COUNTIF($L12,"éliminée*"),H11&gt;H$4),1,0)+IF(AND(COUNTIF($L13,"éliminée*"),H11&gt;H$5),1,0)+IF(AND(COUNTIF($L14,"éliminée*"),H11&gt;H$6),1,0)+IF(AND(COUNTIF($L15,"éliminée*"),H11&gt;H$7),1,0)))),"")</f>
        <v/>
      </c>
      <c r="I19" s="15" t="str">
        <f>IF('Vote et Résultats'!$N$11="Valide",IF(COUNTIF($L11:$L15,"gagnante*"),"",IF(COUNTIF($L11,"éliminée*"),"",I11-(IF(AND(COUNTIF($L12,"éliminée*"),I11&gt;I$4),1,0)+IF(AND(COUNTIF($L13,"éliminée*"),I11&gt;I$5),1,0)+IF(AND(COUNTIF($L14,"éliminée*"),I11&gt;I$6),1,0)+IF(AND(COUNTIF($L15,"éliminée*"),I11&gt;I$7),1,0)))),"")</f>
        <v/>
      </c>
      <c r="J19" s="15" t="str">
        <f>IF('Vote et Résultats'!$N$12="Valide",IF(COUNTIF($L11:$L15,"gagnante*"),"",IF(COUNTIF($L11,"éliminée*"),"",J11-(IF(AND(COUNTIF($L12,"éliminée*"),J11&gt;J$4),1,0)+IF(AND(COUNTIF($L13,"éliminée*"),J11&gt;J$5),1,0)+IF(AND(COUNTIF($L14,"éliminée*"),J11&gt;J$6),1,0)+IF(AND(COUNTIF($L15,"éliminée*"),J11&gt;J$7),1,0)))),"")</f>
        <v/>
      </c>
      <c r="K19" s="15" t="str">
        <f>IF('Vote et Résultats'!$N$13="Valide",IF(COUNTIF($L11:$L15,"gagnante*"),"",IF(COUNTIF($L11,"éliminée*"),"",K11-(IF(AND(COUNTIF($L12,"éliminée*"),K11&gt;K$4),1,0)+IF(AND(COUNTIF($L13,"éliminée*"),K11&gt;K$5),1,0)+IF(AND(COUNTIF($L14,"éliminée*"),K11&gt;K$6),1,0)+IF(AND(COUNTIF($L15,"éliminée*"),K11&gt;K$7),1,0)))),"")</f>
        <v/>
      </c>
      <c r="L19" t="str">
        <f>IF(L11&lt;&gt;"",L11,IF(N19&gt;=6,"gagnante tour "&amp;M19,IF(OR(COUNTIF(N19:N23,"&gt;=6"),O19=MAX(O19:O23)),"éliminée tour "&amp;M19,"")))</f>
        <v>gagnante tour 1</v>
      </c>
      <c r="M19">
        <v>3</v>
      </c>
      <c r="N19" t="str">
        <f>IF(L11&lt;&gt;"","",COUNTIF(B19:K19,1))</f>
        <v/>
      </c>
      <c r="O19" t="str">
        <f>IF(L11&lt;&gt;"","",COUNTIF(B19,B24)+COUNTIF(C19,C24)+COUNTIF(D19,D24)+COUNTIF(E19,E24)+COUNTIF(F19,F24)+COUNTIF(G19,G24)+COUNTIF(H19,H24)+COUNTIF(I19,I24)+COUNTIF(J19,J24)+COUNTIF(K19,K24))</f>
        <v/>
      </c>
      <c r="P19" t="str">
        <f>IF(N19="",P11,RANK(N19,N19:N23))</f>
        <v/>
      </c>
      <c r="Q19">
        <f>IF(Q11&lt;&gt;"",Q11,IF(COUNTIF($L19:$L23,"gagnante*"),IF(P19&lt;&gt;"",P19,MAX(P19:P23)+RIGHT(L19,1)),""))</f>
        <v>1</v>
      </c>
    </row>
    <row r="20" spans="1:17" x14ac:dyDescent="0.25">
      <c r="A20" t="s">
        <v>0</v>
      </c>
      <c r="B20" s="15" t="str">
        <f>IF('Vote et Résultats'!$N$4="Valide",IF(COUNTIF($L11:$L15,"gagnante*"),"",IF(COUNTIF($L12,"éliminée*"),"",B12-(IF(AND(COUNTIF($L11,"éliminée*"),B12&gt;B$3),1,0)+IF(AND(COUNTIF($L13,"éliminée*"),B12&gt;B$5),1,0)+IF(AND(COUNTIF($L14,"éliminée*"),B12&gt;B$6),1,0)+IF(AND(COUNTIF($L15,"éliminée*"),B12&gt;B$7),1,0)))),"")</f>
        <v/>
      </c>
      <c r="C20" s="15" t="str">
        <f>IF('Vote et Résultats'!$N$5="Valide",IF(COUNTIF($L11:$L15,"gagnante*"),"",IF(COUNTIF($L12,"éliminée*"),"",C12-(IF(AND(COUNTIF($L11,"éliminée*"),C12&gt;C$3),1,0)+IF(AND(COUNTIF($L13,"éliminée*"),C12&gt;C$5),1,0)+IF(AND(COUNTIF($L14,"éliminée*"),C12&gt;C$6),1,0)+IF(AND(COUNTIF($L15,"éliminée*"),C12&gt;C$7),1,0)))),"")</f>
        <v/>
      </c>
      <c r="D20" s="15" t="str">
        <f>IF('Vote et Résultats'!$N$6="Valide",IF(COUNTIF($L11:$L15,"gagnante*"),"",IF(COUNTIF($L12,"éliminée*"),"",D12-(IF(AND(COUNTIF($L11,"éliminée*"),D12&gt;D$3),1,0)+IF(AND(COUNTIF($L13,"éliminée*"),D12&gt;D$5),1,0)+IF(AND(COUNTIF($L14,"éliminée*"),D12&gt;D$6),1,0)+IF(AND(COUNTIF($L15,"éliminée*"),D12&gt;D$7),1,0)))),"")</f>
        <v/>
      </c>
      <c r="E20" s="15" t="str">
        <f>IF('Vote et Résultats'!$N$7="Valide",IF(COUNTIF($L11:$L15,"gagnante*"),"",IF(COUNTIF($L12,"éliminée*"),"",E12-(IF(AND(COUNTIF($L11,"éliminée*"),E12&gt;E$3),1,0)+IF(AND(COUNTIF($L13,"éliminée*"),E12&gt;E$5),1,0)+IF(AND(COUNTIF($L14,"éliminée*"),E12&gt;E$6),1,0)+IF(AND(COUNTIF($L15,"éliminée*"),E12&gt;E$7),1,0)))),"")</f>
        <v/>
      </c>
      <c r="F20" s="15" t="str">
        <f>IF('Vote et Résultats'!$N$8="Valide",IF(COUNTIF($L11:$L15,"gagnante*"),"",IF(COUNTIF($L12,"éliminée*"),"",F12-(IF(AND(COUNTIF($L11,"éliminée*"),F12&gt;F$3),1,0)+IF(AND(COUNTIF($L13,"éliminée*"),F12&gt;F$5),1,0)+IF(AND(COUNTIF($L14,"éliminée*"),F12&gt;F$6),1,0)+IF(AND(COUNTIF($L15,"éliminée*"),F12&gt;F$7),1,0)))),"")</f>
        <v/>
      </c>
      <c r="G20" s="15" t="str">
        <f>IF('Vote et Résultats'!$N$9="Valide",IF(COUNTIF($L11:$L15,"gagnante*"),"",IF(COUNTIF($L12,"éliminée*"),"",G12-(IF(AND(COUNTIF($L11,"éliminée*"),G12&gt;G$3),1,0)+IF(AND(COUNTIF($L13,"éliminée*"),G12&gt;G$5),1,0)+IF(AND(COUNTIF($L14,"éliminée*"),G12&gt;G$6),1,0)+IF(AND(COUNTIF($L15,"éliminée*"),G12&gt;G$7),1,0)))),"")</f>
        <v/>
      </c>
      <c r="H20" s="15" t="str">
        <f>IF('Vote et Résultats'!$N$10="Valide",IF(COUNTIF($L11:$L15,"gagnante*"),"",IF(COUNTIF($L12,"éliminée*"),"",H12-(IF(AND(COUNTIF($L11,"éliminée*"),H12&gt;H$3),1,0)+IF(AND(COUNTIF($L13,"éliminée*"),H12&gt;H$5),1,0)+IF(AND(COUNTIF($L14,"éliminée*"),H12&gt;H$6),1,0)+IF(AND(COUNTIF($L15,"éliminée*"),H12&gt;H$7),1,0)))),"")</f>
        <v/>
      </c>
      <c r="I20" s="15" t="str">
        <f>IF('Vote et Résultats'!$N$11="Valide",IF(COUNTIF($L11:$L15,"gagnante*"),"",IF(COUNTIF($L12,"éliminée*"),"",I12-(IF(AND(COUNTIF($L11,"éliminée*"),I12&gt;I$3),1,0)+IF(AND(COUNTIF($L13,"éliminée*"),I12&gt;I$5),1,0)+IF(AND(COUNTIF($L14,"éliminée*"),I12&gt;I$6),1,0)+IF(AND(COUNTIF($L15,"éliminée*"),I12&gt;I$7),1,0)))),"")</f>
        <v/>
      </c>
      <c r="J20" s="15" t="str">
        <f>IF('Vote et Résultats'!$N$12="Valide",IF(COUNTIF($L11:$L15,"gagnante*"),"",IF(COUNTIF($L12,"éliminée*"),"",J12-(IF(AND(COUNTIF($L11,"éliminée*"),J12&gt;J$3),1,0)+IF(AND(COUNTIF($L13,"éliminée*"),J12&gt;J$5),1,0)+IF(AND(COUNTIF($L14,"éliminée*"),J12&gt;J$6),1,0)+IF(AND(COUNTIF($L15,"éliminée*"),J12&gt;J$7),1,0)))),"")</f>
        <v/>
      </c>
      <c r="K20" s="15" t="str">
        <f>IF('Vote et Résultats'!$N$13="Valide",IF(COUNTIF($L11:$L15,"gagnante*"),"",IF(COUNTIF($L12,"éliminée*"),"",K12-(IF(AND(COUNTIF($L11,"éliminée*"),K12&gt;K$3),1,0)+IF(AND(COUNTIF($L13,"éliminée*"),K12&gt;K$5),1,0)+IF(AND(COUNTIF($L14,"éliminée*"),K12&gt;K$6),1,0)+IF(AND(COUNTIF($L15,"éliminée*"),K12&gt;K$7),1,0)))),"")</f>
        <v/>
      </c>
      <c r="L20" t="str">
        <f>IF(L12&lt;&gt;"",L12,IF(N20&gt;=6,"gagnante tour "&amp;M20,IF(OR(COUNTIF(N19:N23,"&gt;=6"),O20=MAX(O19:O23)),"éliminée tour "&amp;M20,"")))</f>
        <v>éliminée tour 1</v>
      </c>
      <c r="M20">
        <v>3</v>
      </c>
      <c r="N20" t="str">
        <f t="shared" ref="N20:N23" si="2">IF(L12&lt;&gt;"","",COUNTIF(B20:K20,1))</f>
        <v/>
      </c>
      <c r="O20" t="str">
        <f>IF(L12&lt;&gt;"","",COUNTIF(B20,B24)+COUNTIF(C20,C24)+COUNTIF(D20,D24)+COUNTIF(E20,E24)+COUNTIF(F20,F24)+COUNTIF(G20,G24)+COUNTIF(H20,H24)+COUNTIF(I20,I24)+COUNTIF(J20,J24)+COUNTIF(K20,K24))</f>
        <v/>
      </c>
      <c r="P20" t="str">
        <f>IF(N20="",P12,RANK(N20,N19:N23))</f>
        <v/>
      </c>
      <c r="Q20">
        <f>IF(Q12&lt;&gt;"",Q12,IF(COUNTIF($L19:$L23,"gagnante*"),IF(P20&lt;&gt;"",P20,MAX(P19:P23)+RIGHT(L20,1)),""))</f>
        <v>2</v>
      </c>
    </row>
    <row r="21" spans="1:17" x14ac:dyDescent="0.25">
      <c r="A21" t="s">
        <v>1</v>
      </c>
      <c r="B21" s="15" t="str">
        <f>IF('Vote et Résultats'!$N$4="Valide",IF(COUNTIF($L11:$L15,"gagnante*"),"",IF(COUNTIF($L13,"éliminée*"),"",B13-(IF(AND(COUNTIF($L11,"éliminée*"),B13&gt;B$3),1,0)+IF(AND(COUNTIF($L12,"éliminée*"),B13&gt;B$4),1,0)+IF(AND(COUNTIF($L14,"éliminée*"),B13&gt;B$6),1,0)+IF(AND(COUNTIF($L15,"éliminée*"),B13&gt;B$7),1,0)))),"")</f>
        <v/>
      </c>
      <c r="C21" s="15" t="str">
        <f>IF('Vote et Résultats'!$N$5="Valide",IF(COUNTIF($L11:$L15,"gagnante*"),"",IF(COUNTIF($L13,"éliminée*"),"",C13-(IF(AND(COUNTIF($L11,"éliminée*"),C13&gt;C$3),1,0)+IF(AND(COUNTIF($L12,"éliminée*"),C13&gt;C$4),1,0)+IF(AND(COUNTIF($L14,"éliminée*"),C13&gt;C$6),1,0)+IF(AND(COUNTIF($L15,"éliminée*"),C13&gt;C$7),1,0)))),"")</f>
        <v/>
      </c>
      <c r="D21" s="15" t="str">
        <f>IF('Vote et Résultats'!$N$6="Valide",IF(COUNTIF($L11:$L15,"gagnante*"),"",IF(COUNTIF($L13,"éliminée*"),"",D13-(IF(AND(COUNTIF($L11,"éliminée*"),D13&gt;D$3),1,0)+IF(AND(COUNTIF($L12,"éliminée*"),D13&gt;D$4),1,0)+IF(AND(COUNTIF($L14,"éliminée*"),D13&gt;D$6),1,0)+IF(AND(COUNTIF($L15,"éliminée*"),D13&gt;D$7),1,0)))),"")</f>
        <v/>
      </c>
      <c r="E21" s="15" t="str">
        <f>IF('Vote et Résultats'!$N$7="Valide",IF(COUNTIF($L11:$L15,"gagnante*"),"",IF(COUNTIF($L13,"éliminée*"),"",E13-(IF(AND(COUNTIF($L11,"éliminée*"),E13&gt;E$3),1,0)+IF(AND(COUNTIF($L12,"éliminée*"),E13&gt;E$4),1,0)+IF(AND(COUNTIF($L14,"éliminée*"),E13&gt;E$6),1,0)+IF(AND(COUNTIF($L15,"éliminée*"),E13&gt;E$7),1,0)))),"")</f>
        <v/>
      </c>
      <c r="F21" s="15" t="str">
        <f>IF('Vote et Résultats'!$N$8="Valide",IF(COUNTIF($L11:$L15,"gagnante*"),"",IF(COUNTIF($L13,"éliminée*"),"",F13-(IF(AND(COUNTIF($L11,"éliminée*"),F13&gt;F$3),1,0)+IF(AND(COUNTIF($L12,"éliminée*"),F13&gt;F$4),1,0)+IF(AND(COUNTIF($L14,"éliminée*"),F13&gt;F$6),1,0)+IF(AND(COUNTIF($L15,"éliminée*"),F13&gt;F$7),1,0)))),"")</f>
        <v/>
      </c>
      <c r="G21" s="15" t="str">
        <f>IF('Vote et Résultats'!$N$9="Valide",IF(COUNTIF($L11:$L15,"gagnante*"),"",IF(COUNTIF($L13,"éliminée*"),"",G13-(IF(AND(COUNTIF($L11,"éliminée*"),G13&gt;G$3),1,0)+IF(AND(COUNTIF($L12,"éliminée*"),G13&gt;G$4),1,0)+IF(AND(COUNTIF($L14,"éliminée*"),G13&gt;G$6),1,0)+IF(AND(COUNTIF($L15,"éliminée*"),G13&gt;G$7),1,0)))),"")</f>
        <v/>
      </c>
      <c r="H21" s="15" t="str">
        <f>IF('Vote et Résultats'!$N$10="Valide",IF(COUNTIF($L11:$L15,"gagnante*"),"",IF(COUNTIF($L13,"éliminée*"),"",H13-(IF(AND(COUNTIF($L11,"éliminée*"),H13&gt;H$3),1,0)+IF(AND(COUNTIF($L12,"éliminée*"),H13&gt;H$4),1,0)+IF(AND(COUNTIF($L14,"éliminée*"),H13&gt;H$6),1,0)+IF(AND(COUNTIF($L15,"éliminée*"),H13&gt;H$7),1,0)))),"")</f>
        <v/>
      </c>
      <c r="I21" s="15" t="str">
        <f>IF('Vote et Résultats'!$N$11="Valide",IF(COUNTIF($L11:$L15,"gagnante*"),"",IF(COUNTIF($L13,"éliminée*"),"",I13-(IF(AND(COUNTIF($L11,"éliminée*"),I13&gt;I$3),1,0)+IF(AND(COUNTIF($L12,"éliminée*"),I13&gt;I$4),1,0)+IF(AND(COUNTIF($L14,"éliminée*"),I13&gt;I$6),1,0)+IF(AND(COUNTIF($L15,"éliminée*"),I13&gt;I$7),1,0)))),"")</f>
        <v/>
      </c>
      <c r="J21" s="15" t="str">
        <f>IF('Vote et Résultats'!$N$12="Valide",IF(COUNTIF($L11:$L15,"gagnante*"),"",IF(COUNTIF($L13,"éliminée*"),"",J13-(IF(AND(COUNTIF($L11,"éliminée*"),J13&gt;J$3),1,0)+IF(AND(COUNTIF($L12,"éliminée*"),J13&gt;J$4),1,0)+IF(AND(COUNTIF($L14,"éliminée*"),J13&gt;J$6),1,0)+IF(AND(COUNTIF($L15,"éliminée*"),J13&gt;J$7),1,0)))),"")</f>
        <v/>
      </c>
      <c r="K21" s="15" t="str">
        <f>IF('Vote et Résultats'!$N$13="Valide",IF(COUNTIF($L11:$L15,"gagnante*"),"",IF(COUNTIF($L13,"éliminée*"),"",K13-(IF(AND(COUNTIF($L11,"éliminée*"),K13&gt;K$3),1,0)+IF(AND(COUNTIF($L12,"éliminée*"),K13&gt;K$4),1,0)+IF(AND(COUNTIF($L14,"éliminée*"),K13&gt;K$6),1,0)+IF(AND(COUNTIF($L15,"éliminée*"),K13&gt;K$7),1,0)))),"")</f>
        <v/>
      </c>
      <c r="L21" t="str">
        <f>IF(L13&lt;&gt;"",L13,IF(N21&gt;=6,"gagnante tour "&amp;M21,IF(OR(COUNTIF(N19:N23,"&gt;=6"),O21=MAX(O19:O23)),"éliminée tour "&amp;M21,"")))</f>
        <v>éliminée tour 1</v>
      </c>
      <c r="M21">
        <v>3</v>
      </c>
      <c r="N21" t="str">
        <f t="shared" si="2"/>
        <v/>
      </c>
      <c r="O21" t="str">
        <f>IF(L13&lt;&gt;"","",COUNTIF(B21,B24)+COUNTIF(C21,C24)+COUNTIF(D21,D24)+COUNTIF(E21,E24)+COUNTIF(F21,F24)+COUNTIF(G21,G24)+COUNTIF(H21,H24)+COUNTIF(I21,I24)+COUNTIF(J21,J24)+COUNTIF(K21,K24))</f>
        <v/>
      </c>
      <c r="P21" t="str">
        <f>IF(N21="",P13,RANK(N21,N19:N23))</f>
        <v/>
      </c>
      <c r="Q21">
        <f>IF(Q13&lt;&gt;"",Q13,IF(COUNTIF($L19:$L23,"gagnante*"),IF(P21&lt;&gt;"",P21,MAX(P19:P23)+RIGHT(L21,1)),""))</f>
        <v>4</v>
      </c>
    </row>
    <row r="22" spans="1:17" x14ac:dyDescent="0.25">
      <c r="A22" t="s">
        <v>2</v>
      </c>
      <c r="B22" s="15" t="str">
        <f>IF('Vote et Résultats'!$N$4="Valide",IF(COUNTIF($L11:$L15,"gagnante*"),"",IF(COUNTIF($L14,"éliminée*"),"",B14-(IF(AND(COUNTIF($L11,"éliminée*"),B14&gt;B$3),1,0)+IF(AND(COUNTIF($L12,"éliminée*"),B14&gt;B$4),1,0)+IF(AND(COUNTIF($L13,"éliminée*"),B14&gt;B$5),1,0)+IF(AND(COUNTIF($L15,"éliminée*"),B14&gt;B$7),1,0)))),"")</f>
        <v/>
      </c>
      <c r="C22" s="15" t="str">
        <f>IF('Vote et Résultats'!$N$5="Valide",IF(COUNTIF($L11:$L15,"gagnante*"),"",IF(COUNTIF($L14,"éliminée*"),"",C14-(IF(AND(COUNTIF($L11,"éliminée*"),C14&gt;C$3),1,0)+IF(AND(COUNTIF($L12,"éliminée*"),C14&gt;C$4),1,0)+IF(AND(COUNTIF($L13,"éliminée*"),C14&gt;C$5),1,0)+IF(AND(COUNTIF($L15,"éliminée*"),C14&gt;C$7),1,0)))),"")</f>
        <v/>
      </c>
      <c r="D22" s="15" t="str">
        <f>IF('Vote et Résultats'!$N$6="Valide",IF(COUNTIF($L11:$L15,"gagnante*"),"",IF(COUNTIF($L14,"éliminée*"),"",D14-(IF(AND(COUNTIF($L11,"éliminée*"),D14&gt;D$3),1,0)+IF(AND(COUNTIF($L12,"éliminée*"),D14&gt;D$4),1,0)+IF(AND(COUNTIF($L13,"éliminée*"),D14&gt;D$5),1,0)+IF(AND(COUNTIF($L15,"éliminée*"),D14&gt;D$7),1,0)))),"")</f>
        <v/>
      </c>
      <c r="E22" s="15" t="str">
        <f>IF('Vote et Résultats'!$N$7="Valide",IF(COUNTIF($L11:$L15,"gagnante*"),"",IF(COUNTIF($L14,"éliminée*"),"",E14-(IF(AND(COUNTIF($L11,"éliminée*"),E14&gt;E$3),1,0)+IF(AND(COUNTIF($L12,"éliminée*"),E14&gt;E$4),1,0)+IF(AND(COUNTIF($L13,"éliminée*"),E14&gt;E$5),1,0)+IF(AND(COUNTIF($L15,"éliminée*"),E14&gt;E$7),1,0)))),"")</f>
        <v/>
      </c>
      <c r="F22" s="15" t="str">
        <f>IF('Vote et Résultats'!$N$8="Valide",IF(COUNTIF($L11:$L15,"gagnante*"),"",IF(COUNTIF($L14,"éliminée*"),"",F14-(IF(AND(COUNTIF($L11,"éliminée*"),F14&gt;F$3),1,0)+IF(AND(COUNTIF($L12,"éliminée*"),F14&gt;F$4),1,0)+IF(AND(COUNTIF($L13,"éliminée*"),F14&gt;F$5),1,0)+IF(AND(COUNTIF($L15,"éliminée*"),F14&gt;F$7),1,0)))),"")</f>
        <v/>
      </c>
      <c r="G22" s="15" t="str">
        <f>IF('Vote et Résultats'!$N$9="Valide",IF(COUNTIF($L11:$L15,"gagnante*"),"",IF(COUNTIF($L14,"éliminée*"),"",G14-(IF(AND(COUNTIF($L11,"éliminée*"),G14&gt;G$3),1,0)+IF(AND(COUNTIF($L12,"éliminée*"),G14&gt;G$4),1,0)+IF(AND(COUNTIF($L13,"éliminée*"),G14&gt;G$5),1,0)+IF(AND(COUNTIF($L15,"éliminée*"),G14&gt;G$7),1,0)))),"")</f>
        <v/>
      </c>
      <c r="H22" s="15" t="str">
        <f>IF('Vote et Résultats'!$N$10="Valide",IF(COUNTIF($L11:$L15,"gagnante*"),"",IF(COUNTIF($L14,"éliminée*"),"",H14-(IF(AND(COUNTIF($L11,"éliminée*"),H14&gt;H$3),1,0)+IF(AND(COUNTIF($L12,"éliminée*"),H14&gt;H$4),1,0)+IF(AND(COUNTIF($L13,"éliminée*"),H14&gt;H$5),1,0)+IF(AND(COUNTIF($L15,"éliminée*"),H14&gt;H$7),1,0)))),"")</f>
        <v/>
      </c>
      <c r="I22" s="15" t="str">
        <f>IF('Vote et Résultats'!$N$11="Valide",IF(COUNTIF($L11:$L15,"gagnante*"),"",IF(COUNTIF($L14,"éliminée*"),"",I14-(IF(AND(COUNTIF($L11,"éliminée*"),I14&gt;I$3),1,0)+IF(AND(COUNTIF($L12,"éliminée*"),I14&gt;I$4),1,0)+IF(AND(COUNTIF($L13,"éliminée*"),I14&gt;I$5),1,0)+IF(AND(COUNTIF($L15,"éliminée*"),I14&gt;I$7),1,0)))),"")</f>
        <v/>
      </c>
      <c r="J22" s="15" t="str">
        <f>IF('Vote et Résultats'!$N$12="Valide",IF(COUNTIF($L11:$L15,"gagnante*"),"",IF(COUNTIF($L14,"éliminée*"),"",J14-(IF(AND(COUNTIF($L11,"éliminée*"),J14&gt;J$3),1,0)+IF(AND(COUNTIF($L12,"éliminée*"),J14&gt;J$4),1,0)+IF(AND(COUNTIF($L13,"éliminée*"),J14&gt;J$5),1,0)+IF(AND(COUNTIF($L15,"éliminée*"),J14&gt;J$7),1,0)))),"")</f>
        <v/>
      </c>
      <c r="K22" s="15" t="str">
        <f>IF('Vote et Résultats'!$N$13="Valide",IF(COUNTIF($L11:$L15,"gagnante*"),"",IF(COUNTIF($L14,"éliminée*"),"",K14-(IF(AND(COUNTIF($L11,"éliminée*"),K14&gt;K$3),1,0)+IF(AND(COUNTIF($L12,"éliminée*"),K14&gt;K$4),1,0)+IF(AND(COUNTIF($L13,"éliminée*"),K14&gt;K$5),1,0)+IF(AND(COUNTIF($L15,"éliminée*"),K14&gt;K$7),1,0)))),"")</f>
        <v/>
      </c>
      <c r="L22" t="str">
        <f>IF(L14&lt;&gt;"",L14,IF(N22&gt;=6,"gagnante tour "&amp;M22,IF(OR(COUNTIF(N19:N23,"&gt;=6"),O22=MAX(O19:O23)),"éliminée tour "&amp;M22,"")))</f>
        <v>éliminée tour 1</v>
      </c>
      <c r="M22">
        <v>3</v>
      </c>
      <c r="N22" t="str">
        <f t="shared" si="2"/>
        <v/>
      </c>
      <c r="O22" t="str">
        <f>IF(L14&lt;&gt;"","",COUNTIF(B22,B24)+COUNTIF(C22,C24)+COUNTIF(D22,D24)+COUNTIF(E22,E24)+COUNTIF(F22,F24)+COUNTIF(G22,G24)+COUNTIF(H22,H24)+COUNTIF(I22,I24)+COUNTIF(J22,J24)+COUNTIF(K22,K24))</f>
        <v/>
      </c>
      <c r="P22" t="str">
        <f>IF(N22="",P14,RANK(N22,N19:N23))</f>
        <v/>
      </c>
      <c r="Q22">
        <f>IF(Q14&lt;&gt;"",Q14,IF(COUNTIF($L19:$L23,"gagnante*"),IF(P22&lt;&gt;"",P22,MAX(P19:P23)+RIGHT(L22,1)),""))</f>
        <v>3</v>
      </c>
    </row>
    <row r="23" spans="1:17" x14ac:dyDescent="0.25">
      <c r="A23" t="s">
        <v>3</v>
      </c>
      <c r="B23" s="15" t="str">
        <f>IF('Vote et Résultats'!$N$4="Valide",IF(COUNTIF($L11:$L15,"gagnante*"),"",IF(COUNTIF($L15,"éliminée*"),"",B15-(IF(AND(COUNTIF($L11,"éliminée*"),B15&gt;B$3),1,0)+IF(AND(COUNTIF($L12,"éliminée*"),B15&gt;B$4),1,0)+IF(AND(COUNTIF($L13,"éliminée*"),B15&gt;B$5),1,0)+IF(AND(COUNTIF($L14,"éliminée*"),B15&gt;B$6),1,0)))),"")</f>
        <v/>
      </c>
      <c r="C23" s="15" t="str">
        <f>IF('Vote et Résultats'!$N$5="Valide",IF(COUNTIF($L11:$L15,"gagnante*"),"",IF(COUNTIF($L15,"éliminée*"),"",C15-(IF(AND(COUNTIF($L11,"éliminée*"),C15&gt;C$3),1,0)+IF(AND(COUNTIF($L12,"éliminée*"),C15&gt;C$4),1,0)+IF(AND(COUNTIF($L13,"éliminée*"),C15&gt;C$5),1,0)+IF(AND(COUNTIF($L14,"éliminée*"),C15&gt;C$6),1,0)))),"")</f>
        <v/>
      </c>
      <c r="D23" s="15" t="str">
        <f>IF('Vote et Résultats'!$N$6="Valide",IF(COUNTIF($L11:$L15,"gagnante*"),"",IF(COUNTIF($L15,"éliminée*"),"",D15-(IF(AND(COUNTIF($L11,"éliminée*"),D15&gt;D$3),1,0)+IF(AND(COUNTIF($L12,"éliminée*"),D15&gt;D$4),1,0)+IF(AND(COUNTIF($L13,"éliminée*"),D15&gt;D$5),1,0)+IF(AND(COUNTIF($L14,"éliminée*"),D15&gt;D$6),1,0)))),"")</f>
        <v/>
      </c>
      <c r="E23" s="15" t="str">
        <f>IF('Vote et Résultats'!$N$7="Valide",IF(COUNTIF($L11:$L15,"gagnante*"),"",IF(COUNTIF($L15,"éliminée*"),"",E15-(IF(AND(COUNTIF($L11,"éliminée*"),E15&gt;E$3),1,0)+IF(AND(COUNTIF($L12,"éliminée*"),E15&gt;E$4),1,0)+IF(AND(COUNTIF($L13,"éliminée*"),E15&gt;E$5),1,0)+IF(AND(COUNTIF($L14,"éliminée*"),E15&gt;E$6),1,0)))),"")</f>
        <v/>
      </c>
      <c r="F23" s="15" t="str">
        <f>IF('Vote et Résultats'!$N$8="Valide",IF(COUNTIF($L11:$L15,"gagnante*"),"",IF(COUNTIF($L15,"éliminée*"),"",F15-(IF(AND(COUNTIF($L11,"éliminée*"),F15&gt;F$3),1,0)+IF(AND(COUNTIF($L12,"éliminée*"),F15&gt;F$4),1,0)+IF(AND(COUNTIF($L13,"éliminée*"),F15&gt;F$5),1,0)+IF(AND(COUNTIF($L14,"éliminée*"),F15&gt;F$6),1,0)))),"")</f>
        <v/>
      </c>
      <c r="G23" s="15" t="str">
        <f>IF('Vote et Résultats'!$N$9="Valide",IF(COUNTIF($L11:$L15,"gagnante*"),"",IF(COUNTIF($L15,"éliminée*"),"",G15-(IF(AND(COUNTIF($L11,"éliminée*"),G15&gt;G$3),1,0)+IF(AND(COUNTIF($L12,"éliminée*"),G15&gt;G$4),1,0)+IF(AND(COUNTIF($L13,"éliminée*"),G15&gt;G$5),1,0)+IF(AND(COUNTIF($L14,"éliminée*"),G15&gt;G$6),1,0)))),"")</f>
        <v/>
      </c>
      <c r="H23" s="15" t="str">
        <f>IF('Vote et Résultats'!$N$10="Valide",IF(COUNTIF($L11:$L15,"gagnante*"),"",IF(COUNTIF($L15,"éliminée*"),"",H15-(IF(AND(COUNTIF($L11,"éliminée*"),H15&gt;H$3),1,0)+IF(AND(COUNTIF($L12,"éliminée*"),H15&gt;H$4),1,0)+IF(AND(COUNTIF($L13,"éliminée*"),H15&gt;H$5),1,0)+IF(AND(COUNTIF($L14,"éliminée*"),H15&gt;H$6),1,0)))),"")</f>
        <v/>
      </c>
      <c r="I23" s="15" t="str">
        <f>IF('Vote et Résultats'!$N$11="Valide",IF(COUNTIF($L11:$L15,"gagnante*"),"",IF(COUNTIF($L15,"éliminée*"),"",I15-(IF(AND(COUNTIF($L11,"éliminée*"),I15&gt;I$3),1,0)+IF(AND(COUNTIF($L12,"éliminée*"),I15&gt;I$4),1,0)+IF(AND(COUNTIF($L13,"éliminée*"),I15&gt;I$5),1,0)+IF(AND(COUNTIF($L14,"éliminée*"),I15&gt;I$6),1,0)))),"")</f>
        <v/>
      </c>
      <c r="J23" s="15" t="str">
        <f>IF('Vote et Résultats'!$N$12="Valide",IF(COUNTIF($L11:$L15,"gagnante*"),"",IF(COUNTIF($L15,"éliminée*"),"",J15-(IF(AND(COUNTIF($L11,"éliminée*"),J15&gt;J$3),1,0)+IF(AND(COUNTIF($L12,"éliminée*"),J15&gt;J$4),1,0)+IF(AND(COUNTIF($L13,"éliminée*"),J15&gt;J$5),1,0)+IF(AND(COUNTIF($L14,"éliminée*"),J15&gt;J$6),1,0)))),"")</f>
        <v/>
      </c>
      <c r="K23" s="15" t="str">
        <f>IF('Vote et Résultats'!$N$13="Valide",IF(COUNTIF($L11:$L15,"gagnante*"),"",IF(COUNTIF($L15,"éliminée*"),"",K15-(IF(AND(COUNTIF($L11,"éliminée*"),K15&gt;K$3),1,0)+IF(AND(COUNTIF($L12,"éliminée*"),K15&gt;K$4),1,0)+IF(AND(COUNTIF($L13,"éliminée*"),K15&gt;K$5),1,0)+IF(AND(COUNTIF($L14,"éliminée*"),K15&gt;K$6),1,0)))),"")</f>
        <v/>
      </c>
      <c r="L23" t="str">
        <f>IF(L15&lt;&gt;"",L15,IF(N23&gt;=6,"gagnante tour "&amp;M23,IF(OR(COUNTIF(N19:N23,"&gt;=6"),O23=MAX(O19:O23)),"éliminée tour "&amp;M23,"")))</f>
        <v>éliminée tour 1</v>
      </c>
      <c r="M23">
        <v>3</v>
      </c>
      <c r="N23" t="str">
        <f t="shared" si="2"/>
        <v/>
      </c>
      <c r="O23" t="str">
        <f>IF(L15&lt;&gt;"","",COUNTIF(B23,B24)+COUNTIF(C23,C24)+COUNTIF(D23,D24)+COUNTIF(E23,E24)+COUNTIF(F23,F24)+COUNTIF(G23,G24)+COUNTIF(H23,H24)+COUNTIF(I23,I24)+COUNTIF(J23,J24)+COUNTIF(K23,K24))</f>
        <v/>
      </c>
      <c r="P23" t="str">
        <f>IF(N23="",P15,RANK(N23,N19:N23))</f>
        <v/>
      </c>
      <c r="Q23">
        <f>IF(Q15&lt;&gt;"",Q15,IF(COUNTIF($L19:$L23,"gagnante*"),IF(P23&lt;&gt;"",P23,MAX(P19:P23)+RIGHT(L23,1)),""))</f>
        <v>4</v>
      </c>
    </row>
    <row r="24" spans="1:17" x14ac:dyDescent="0.25">
      <c r="A24" t="s">
        <v>86</v>
      </c>
      <c r="B24" s="15" t="str">
        <f>IF('Vote et Résultats'!$N$4="Valide",IF(COUNTIF($L11:$L15,"gagnante*"),"",MAX(B19:B23)),"")</f>
        <v/>
      </c>
      <c r="C24" s="15" t="str">
        <f>IF('Vote et Résultats'!$N$5="Valide",IF(COUNTIF($L11:$L15,"gagnante*"),"",MAX(C19:C23)),"")</f>
        <v/>
      </c>
      <c r="D24" s="15" t="str">
        <f>IF('Vote et Résultats'!$N$6="Valide",IF(COUNTIF($L11:$L15,"gagnante*"),"",MAX(D19:D23)),"")</f>
        <v/>
      </c>
      <c r="E24" s="15" t="str">
        <f>IF('Vote et Résultats'!$N$7="Valide",IF(COUNTIF($L11:$L15,"gagnante*"),"",MAX(E19:E23)),"")</f>
        <v/>
      </c>
      <c r="F24" s="15" t="str">
        <f>IF('Vote et Résultats'!$N$8="Valide",IF(COUNTIF($L11:$L15,"gagnante*"),"",MAX(F19:F23)),"")</f>
        <v/>
      </c>
      <c r="G24" s="15" t="str">
        <f>IF('Vote et Résultats'!$N$9="Valide",IF(COUNTIF($L11:$L15,"gagnante*"),"",MAX(G19:G23)),"")</f>
        <v/>
      </c>
      <c r="H24" s="15" t="str">
        <f>IF('Vote et Résultats'!$N$10="Valide",IF(COUNTIF($L11:$L15,"gagnante*"),"",MAX(H19:H23)),"")</f>
        <v/>
      </c>
      <c r="I24" s="15" t="str">
        <f>IF('Vote et Résultats'!$N$11="Valide",IF(COUNTIF($L11:$L15,"gagnante*"),"",MAX(I19:I23)),"")</f>
        <v/>
      </c>
      <c r="J24" s="15" t="str">
        <f>IF('Vote et Résultats'!$N$12="Valide",IF(COUNTIF($L11:$L15,"gagnante*"),"",MAX(J19:J23)),"")</f>
        <v/>
      </c>
      <c r="K24" s="15" t="str">
        <f>IF('Vote et Résultats'!$N$13="Valide",IF(COUNTIF($L11:$L15,"gagnante*"),"",MAX(K19:K23)),"")</f>
        <v/>
      </c>
    </row>
    <row r="25" spans="1:17" x14ac:dyDescent="0.25">
      <c r="A25" s="122" t="s">
        <v>92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 x14ac:dyDescent="0.25">
      <c r="B26" t="str">
        <f>IF(COUNTIF(L19:L23,"gagnante*"),"","votant·e 1")</f>
        <v/>
      </c>
      <c r="C26" t="str">
        <f>IF(COUNTIF(L19:L23,"gagnante*"),"","votant·e 2")</f>
        <v/>
      </c>
      <c r="D26" t="str">
        <f>IF(COUNTIF(L19:L23,"gagnante*"),"","votant·e 3")</f>
        <v/>
      </c>
      <c r="E26" t="str">
        <f>IF(COUNTIF(L19:L23,"gagnante*"),"","votant·e 4")</f>
        <v/>
      </c>
      <c r="F26" t="str">
        <f>IF(COUNTIF(L19:L23,"gagnante*"),"","votant·e 5")</f>
        <v/>
      </c>
      <c r="G26" t="str">
        <f>IF(COUNTIF(L19:L23,"gagnante*"),"","votant·e 6")</f>
        <v/>
      </c>
      <c r="H26" t="str">
        <f>IF(COUNTIF(L19:L23,"gagnante*"),"","votant·e 7")</f>
        <v/>
      </c>
      <c r="I26" t="str">
        <f>IF(COUNTIF(L19:L23,"gagnante*"),"","votant·e 8")</f>
        <v/>
      </c>
      <c r="J26" t="str">
        <f>IF(COUNTIF(L19:L23,"gagnante*"),"","votant·e 9")</f>
        <v/>
      </c>
      <c r="K26" t="str">
        <f>IF(COUNTIF(L19:L23,"gagnante*"),"","votant·e 10")</f>
        <v/>
      </c>
      <c r="L26" t="s">
        <v>63</v>
      </c>
      <c r="M26" t="s">
        <v>77</v>
      </c>
      <c r="N26" t="s">
        <v>78</v>
      </c>
      <c r="O26" t="s">
        <v>85</v>
      </c>
      <c r="P26" t="s">
        <v>87</v>
      </c>
      <c r="Q26" t="s">
        <v>76</v>
      </c>
    </row>
    <row r="27" spans="1:17" x14ac:dyDescent="0.25">
      <c r="A27" t="s">
        <v>34</v>
      </c>
      <c r="B27" s="15" t="str">
        <f>IF('Vote et Résultats'!$N$4="Valide",IF(COUNTIF($L19:$L23,"gagnante*"),"",IF(COUNTIF($L19,"éliminée*"),"",B19-(IF(AND(COUNTIF($L20,"éliminée*"),B19&gt;B$4),1,0)+IF(AND(COUNTIF($L21,"éliminée*"),B19&gt;B$5),1,0)+IF(AND(COUNTIF($L22,"éliminée*"),B19&gt;B$6),1,0)+IF(AND(COUNTIF($L23,"éliminée*"),B19&gt;B$7),1,0)))),"")</f>
        <v/>
      </c>
      <c r="C27" s="15" t="str">
        <f>IF('Vote et Résultats'!$N$5="Valide",IF(COUNTIF($L19:$L23,"gagnante*"),"",IF(COUNTIF($L19,"éliminée*"),"",C19-(IF(AND(COUNTIF($L20,"éliminée*"),C19&gt;C$4),1,0)+IF(AND(COUNTIF($L21,"éliminée*"),C19&gt;C$5),1,0)+IF(AND(COUNTIF($L22,"éliminée*"),C19&gt;C$6),1,0)+IF(AND(COUNTIF($L23,"éliminée*"),C19&gt;C$7),1,0)))),"")</f>
        <v/>
      </c>
      <c r="D27" s="15" t="str">
        <f>IF('Vote et Résultats'!$N$6="Valide",IF(COUNTIF($L19:$L23,"gagnante*"),"",IF(COUNTIF($L19,"éliminée*"),"",D19-(IF(AND(COUNTIF($L20,"éliminée*"),D19&gt;D$4),1,0)+IF(AND(COUNTIF($L21,"éliminée*"),D19&gt;D$5),1,0)+IF(AND(COUNTIF($L22,"éliminée*"),D19&gt;D$6),1,0)+IF(AND(COUNTIF($L23,"éliminée*"),D19&gt;D$7),1,0)))),"")</f>
        <v/>
      </c>
      <c r="E27" s="15" t="str">
        <f>IF('Vote et Résultats'!$N$7="Valide",IF(COUNTIF($L19:$L23,"gagnante*"),"",IF(COUNTIF($L19,"éliminée*"),"",E19-(IF(AND(COUNTIF($L20,"éliminée*"),E19&gt;E$4),1,0)+IF(AND(COUNTIF($L21,"éliminée*"),E19&gt;E$5),1,0)+IF(AND(COUNTIF($L22,"éliminée*"),E19&gt;E$6),1,0)+IF(AND(COUNTIF($L23,"éliminée*"),E19&gt;E$7),1,0)))),"")</f>
        <v/>
      </c>
      <c r="F27" s="15" t="str">
        <f>IF('Vote et Résultats'!$N$8="Valide",IF(COUNTIF($L19:$L23,"gagnante*"),"",IF(COUNTIF($L19,"éliminée*"),"",F19-(IF(AND(COUNTIF($L20,"éliminée*"),F19&gt;F$4),1,0)+IF(AND(COUNTIF($L21,"éliminée*"),F19&gt;F$5),1,0)+IF(AND(COUNTIF($L22,"éliminée*"),F19&gt;F$6),1,0)+IF(AND(COUNTIF($L23,"éliminée*"),F19&gt;F$7),1,0)))),"")</f>
        <v/>
      </c>
      <c r="G27" s="15" t="str">
        <f>IF('Vote et Résultats'!$N$9="Valide",IF(COUNTIF($L19:$L23,"gagnante*"),"",IF(COUNTIF($L19,"éliminée*"),"",G19-(IF(AND(COUNTIF($L20,"éliminée*"),G19&gt;G$4),1,0)+IF(AND(COUNTIF($L21,"éliminée*"),G19&gt;G$5),1,0)+IF(AND(COUNTIF($L22,"éliminée*"),G19&gt;G$6),1,0)+IF(AND(COUNTIF($L23,"éliminée*"),G19&gt;G$7),1,0)))),"")</f>
        <v/>
      </c>
      <c r="H27" s="15" t="str">
        <f>IF('Vote et Résultats'!$N$10="Valide",IF(COUNTIF($L19:$L23,"gagnante*"),"",IF(COUNTIF($L19,"éliminée*"),"",H19-(IF(AND(COUNTIF($L20,"éliminée*"),H19&gt;H$4),1,0)+IF(AND(COUNTIF($L21,"éliminée*"),H19&gt;H$5),1,0)+IF(AND(COUNTIF($L22,"éliminée*"),H19&gt;H$6),1,0)+IF(AND(COUNTIF($L23,"éliminée*"),H19&gt;H$7),1,0)))),"")</f>
        <v/>
      </c>
      <c r="I27" s="15" t="str">
        <f>IF('Vote et Résultats'!$N$11="Valide",IF(COUNTIF($L19:$L23,"gagnante*"),"",IF(COUNTIF($L19,"éliminée*"),"",I19-(IF(AND(COUNTIF($L20,"éliminée*"),I19&gt;I$4),1,0)+IF(AND(COUNTIF($L21,"éliminée*"),I19&gt;I$5),1,0)+IF(AND(COUNTIF($L22,"éliminée*"),I19&gt;I$6),1,0)+IF(AND(COUNTIF($L23,"éliminée*"),I19&gt;I$7),1,0)))),"")</f>
        <v/>
      </c>
      <c r="J27" s="15" t="str">
        <f>IF('Vote et Résultats'!$N$12="Valide",IF(COUNTIF($L19:$L23,"gagnante*"),"",IF(COUNTIF($L19,"éliminée*"),"",J19-(IF(AND(COUNTIF($L20,"éliminée*"),J19&gt;J$4),1,0)+IF(AND(COUNTIF($L21,"éliminée*"),J19&gt;J$5),1,0)+IF(AND(COUNTIF($L22,"éliminée*"),J19&gt;J$6),1,0)+IF(AND(COUNTIF($L23,"éliminée*"),J19&gt;J$7),1,0)))),"")</f>
        <v/>
      </c>
      <c r="K27" s="15" t="str">
        <f>IF('Vote et Résultats'!$N$13="Valide",IF(COUNTIF($L19:$L23,"gagnante*"),"",IF(COUNTIF($L19,"éliminée*"),"",K19-(IF(AND(COUNTIF($L20,"éliminée*"),K19&gt;K$4),1,0)+IF(AND(COUNTIF($L21,"éliminée*"),K19&gt;K$5),1,0)+IF(AND(COUNTIF($L22,"éliminée*"),K19&gt;K$6),1,0)+IF(AND(COUNTIF($L23,"éliminée*"),K19&gt;K$7),1,0)))),"")</f>
        <v/>
      </c>
      <c r="L27" t="str">
        <f>IF(L19&lt;&gt;"",L19,IF(N27&gt;=6,"gagnante tour "&amp;M27,IF(OR(COUNTIF(N27:N31,"&gt;=6"),O27=MAX(O27:O31)),"éliminée tour "&amp;M27,"")))</f>
        <v>gagnante tour 1</v>
      </c>
      <c r="M27">
        <v>4</v>
      </c>
      <c r="N27" t="str">
        <f>IF(L19&lt;&gt;"","",COUNTIF(B27:K27,1))</f>
        <v/>
      </c>
      <c r="O27" t="str">
        <f>IF(L19&lt;&gt;"","",COUNTIF(B27,B32)+COUNTIF(C27,C32)+COUNTIF(D27,D32)+COUNTIF(E27,E32)+COUNTIF(F27,F32)+COUNTIF(G27,G32)+COUNTIF(H27,H32)+COUNTIF(I27,I32)+COUNTIF(J27,J32)+COUNTIF(K27,K32))</f>
        <v/>
      </c>
      <c r="P27" t="str">
        <f>IF(N27="",P19,RANK(N27,N27:N31))</f>
        <v/>
      </c>
      <c r="Q27">
        <f>IF(Q19&lt;&gt;"",Q19,IF(COUNTIF($L27:$L31,"gagnante*"),IF(P27&lt;&gt;"",P27,MAX(P27:P31)+RIGHT(L27,1)),""))</f>
        <v>1</v>
      </c>
    </row>
    <row r="28" spans="1:17" x14ac:dyDescent="0.25">
      <c r="A28" t="s">
        <v>0</v>
      </c>
      <c r="B28" s="15" t="str">
        <f>IF('Vote et Résultats'!$N$4="Valide",IF(COUNTIF($L19:$L23,"gagnante*"),"",IF(COUNTIF($L20,"éliminée*"),"",B20-(IF(AND(COUNTIF($L19,"éliminée*"),B20&gt;B$3),1,0)+IF(AND(COUNTIF($L21,"éliminée*"),B20&gt;B$5),1,0)+IF(AND(COUNTIF($L22,"éliminée*"),B20&gt;B$6),1,0)+IF(AND(COUNTIF($L23,"éliminée*"),B20&gt;B$7),1,0)))),"")</f>
        <v/>
      </c>
      <c r="C28" s="15" t="str">
        <f>IF('Vote et Résultats'!$N$5="Valide",IF(COUNTIF($L19:$L23,"gagnante*"),"",IF(COUNTIF($L20,"éliminée*"),"",C20-(IF(AND(COUNTIF($L19,"éliminée*"),C20&gt;C$3),1,0)+IF(AND(COUNTIF($L21,"éliminée*"),C20&gt;C$5),1,0)+IF(AND(COUNTIF($L22,"éliminée*"),C20&gt;C$6),1,0)+IF(AND(COUNTIF($L23,"éliminée*"),C20&gt;C$7),1,0)))),"")</f>
        <v/>
      </c>
      <c r="D28" s="15" t="str">
        <f>IF('Vote et Résultats'!$N$6="Valide",IF(COUNTIF($L19:$L23,"gagnante*"),"",IF(COUNTIF($L20,"éliminée*"),"",D20-(IF(AND(COUNTIF($L19,"éliminée*"),D20&gt;D$3),1,0)+IF(AND(COUNTIF($L21,"éliminée*"),D20&gt;D$5),1,0)+IF(AND(COUNTIF($L22,"éliminée*"),D20&gt;D$6),1,0)+IF(AND(COUNTIF($L23,"éliminée*"),D20&gt;D$7),1,0)))),"")</f>
        <v/>
      </c>
      <c r="E28" s="15" t="str">
        <f>IF('Vote et Résultats'!$N$7="Valide",IF(COUNTIF($L19:$L23,"gagnante*"),"",IF(COUNTIF($L20,"éliminée*"),"",E20-(IF(AND(COUNTIF($L19,"éliminée*"),E20&gt;E$3),1,0)+IF(AND(COUNTIF($L21,"éliminée*"),E20&gt;E$5),1,0)+IF(AND(COUNTIF($L22,"éliminée*"),E20&gt;E$6),1,0)+IF(AND(COUNTIF($L23,"éliminée*"),E20&gt;E$7),1,0)))),"")</f>
        <v/>
      </c>
      <c r="F28" s="15" t="str">
        <f>IF('Vote et Résultats'!$N$8="Valide",IF(COUNTIF($L19:$L23,"gagnante*"),"",IF(COUNTIF($L20,"éliminée*"),"",F20-(IF(AND(COUNTIF($L19,"éliminée*"),F20&gt;F$3),1,0)+IF(AND(COUNTIF($L21,"éliminée*"),F20&gt;F$5),1,0)+IF(AND(COUNTIF($L22,"éliminée*"),F20&gt;F$6),1,0)+IF(AND(COUNTIF($L23,"éliminée*"),F20&gt;F$7),1,0)))),"")</f>
        <v/>
      </c>
      <c r="G28" s="15" t="str">
        <f>IF('Vote et Résultats'!$N$9="Valide",IF(COUNTIF($L19:$L23,"gagnante*"),"",IF(COUNTIF($L20,"éliminée*"),"",G20-(IF(AND(COUNTIF($L19,"éliminée*"),G20&gt;G$3),1,0)+IF(AND(COUNTIF($L21,"éliminée*"),G20&gt;G$5),1,0)+IF(AND(COUNTIF($L22,"éliminée*"),G20&gt;G$6),1,0)+IF(AND(COUNTIF($L23,"éliminée*"),G20&gt;G$7),1,0)))),"")</f>
        <v/>
      </c>
      <c r="H28" s="15" t="str">
        <f>IF('Vote et Résultats'!$N$10="Valide",IF(COUNTIF($L19:$L23,"gagnante*"),"",IF(COUNTIF($L20,"éliminée*"),"",H20-(IF(AND(COUNTIF($L19,"éliminée*"),H20&gt;H$3),1,0)+IF(AND(COUNTIF($L21,"éliminée*"),H20&gt;H$5),1,0)+IF(AND(COUNTIF($L22,"éliminée*"),H20&gt;H$6),1,0)+IF(AND(COUNTIF($L23,"éliminée*"),H20&gt;H$7),1,0)))),"")</f>
        <v/>
      </c>
      <c r="I28" s="15" t="str">
        <f>IF('Vote et Résultats'!$N$11="Valide",IF(COUNTIF($L19:$L23,"gagnante*"),"",IF(COUNTIF($L20,"éliminée*"),"",I20-(IF(AND(COUNTIF($L19,"éliminée*"),I20&gt;I$3),1,0)+IF(AND(COUNTIF($L21,"éliminée*"),I20&gt;I$5),1,0)+IF(AND(COUNTIF($L22,"éliminée*"),I20&gt;I$6),1,0)+IF(AND(COUNTIF($L23,"éliminée*"),I20&gt;I$7),1,0)))),"")</f>
        <v/>
      </c>
      <c r="J28" s="15" t="str">
        <f>IF('Vote et Résultats'!$N$12="Valide",IF(COUNTIF($L19:$L23,"gagnante*"),"",IF(COUNTIF($L20,"éliminée*"),"",J20-(IF(AND(COUNTIF($L19,"éliminée*"),J20&gt;J$3),1,0)+IF(AND(COUNTIF($L21,"éliminée*"),J20&gt;J$5),1,0)+IF(AND(COUNTIF($L22,"éliminée*"),J20&gt;J$6),1,0)+IF(AND(COUNTIF($L23,"éliminée*"),J20&gt;J$7),1,0)))),"")</f>
        <v/>
      </c>
      <c r="K28" s="15" t="str">
        <f>IF('Vote et Résultats'!$N$13="Valide",IF(COUNTIF($L19:$L23,"gagnante*"),"",IF(COUNTIF($L20,"éliminée*"),"",K20-(IF(AND(COUNTIF($L19,"éliminée*"),K20&gt;K$3),1,0)+IF(AND(COUNTIF($L21,"éliminée*"),K20&gt;K$5),1,0)+IF(AND(COUNTIF($L22,"éliminée*"),K20&gt;K$6),1,0)+IF(AND(COUNTIF($L23,"éliminée*"),K20&gt;K$7),1,0)))),"")</f>
        <v/>
      </c>
      <c r="L28" t="str">
        <f>IF(L20&lt;&gt;"",L20,IF(N28&gt;=6,"gagnante tour "&amp;M28,IF(OR(COUNTIF(N27:N31,"&gt;=6"),O28=MAX(O27:O31)),"éliminée tour "&amp;M28,"")))</f>
        <v>éliminée tour 1</v>
      </c>
      <c r="M28">
        <v>4</v>
      </c>
      <c r="N28" t="str">
        <f t="shared" ref="N28:N31" si="3">IF(L20&lt;&gt;"","",COUNTIF(B28:K28,1))</f>
        <v/>
      </c>
      <c r="O28" t="str">
        <f>IF(L20&lt;&gt;"","",COUNTIF(B28,B32)+COUNTIF(C28,C32)+COUNTIF(D28,D32)+COUNTIF(E28,E32)+COUNTIF(F28,F32)+COUNTIF(G28,G32)+COUNTIF(H28,H32)+COUNTIF(I28,I32)+COUNTIF(J28,J32)+COUNTIF(K28,K32))</f>
        <v/>
      </c>
      <c r="P28" t="str">
        <f>IF(N28="",P20,RANK(N28,N27:N31))</f>
        <v/>
      </c>
      <c r="Q28">
        <f>IF(Q20&lt;&gt;"",Q20,IF(COUNTIF($L27:$L31,"gagnante*"),IF(P28&lt;&gt;"",P28,MAX(P27:P31)+RIGHT(L28,1)),""))</f>
        <v>2</v>
      </c>
    </row>
    <row r="29" spans="1:17" x14ac:dyDescent="0.25">
      <c r="A29" t="s">
        <v>1</v>
      </c>
      <c r="B29" s="15" t="str">
        <f>IF('Vote et Résultats'!$N$4="Valide",IF(COUNTIF($L19:$L23,"gagnante*"),"",IF(COUNTIF($L21,"éliminée*"),"",B21-(IF(AND(COUNTIF($L19,"éliminée*"),B21&gt;B$3),1,0)+IF(AND(COUNTIF($L20,"éliminée*"),B21&gt;B$4),1,0)+IF(AND(COUNTIF($L22,"éliminée*"),B21&gt;B$6),1,0)+IF(AND(COUNTIF($L23,"éliminée*"),B21&gt;B$7),1,0)))),"")</f>
        <v/>
      </c>
      <c r="C29" s="15" t="str">
        <f>IF('Vote et Résultats'!$N$5="Valide",IF(COUNTIF($L19:$L23,"gagnante*"),"",IF(COUNTIF($L21,"éliminée*"),"",C21-(IF(AND(COUNTIF($L19,"éliminée*"),C21&gt;C$3),1,0)+IF(AND(COUNTIF($L20,"éliminée*"),C21&gt;C$4),1,0)+IF(AND(COUNTIF($L22,"éliminée*"),C21&gt;C$6),1,0)+IF(AND(COUNTIF($L23,"éliminée*"),C21&gt;C$7),1,0)))),"")</f>
        <v/>
      </c>
      <c r="D29" s="15" t="str">
        <f>IF('Vote et Résultats'!$N$6="Valide",IF(COUNTIF($L19:$L23,"gagnante*"),"",IF(COUNTIF($L21,"éliminée*"),"",D21-(IF(AND(COUNTIF($L19,"éliminée*"),D21&gt;D$3),1,0)+IF(AND(COUNTIF($L20,"éliminée*"),D21&gt;D$4),1,0)+IF(AND(COUNTIF($L22,"éliminée*"),D21&gt;D$6),1,0)+IF(AND(COUNTIF($L23,"éliminée*"),D21&gt;D$7),1,0)))),"")</f>
        <v/>
      </c>
      <c r="E29" s="15" t="str">
        <f>IF('Vote et Résultats'!$N$7="Valide",IF(COUNTIF($L19:$L23,"gagnante*"),"",IF(COUNTIF($L21,"éliminée*"),"",E21-(IF(AND(COUNTIF($L19,"éliminée*"),E21&gt;E$3),1,0)+IF(AND(COUNTIF($L20,"éliminée*"),E21&gt;E$4),1,0)+IF(AND(COUNTIF($L22,"éliminée*"),E21&gt;E$6),1,0)+IF(AND(COUNTIF($L23,"éliminée*"),E21&gt;E$7),1,0)))),"")</f>
        <v/>
      </c>
      <c r="F29" s="15" t="str">
        <f>IF('Vote et Résultats'!$N$8="Valide",IF(COUNTIF($L19:$L23,"gagnante*"),"",IF(COUNTIF($L21,"éliminée*"),"",F21-(IF(AND(COUNTIF($L19,"éliminée*"),F21&gt;F$3),1,0)+IF(AND(COUNTIF($L20,"éliminée*"),F21&gt;F$4),1,0)+IF(AND(COUNTIF($L22,"éliminée*"),F21&gt;F$6),1,0)+IF(AND(COUNTIF($L23,"éliminée*"),F21&gt;F$7),1,0)))),"")</f>
        <v/>
      </c>
      <c r="G29" s="15" t="str">
        <f>IF('Vote et Résultats'!$N$9="Valide",IF(COUNTIF($L19:$L23,"gagnante*"),"",IF(COUNTIF($L21,"éliminée*"),"",G21-(IF(AND(COUNTIF($L19,"éliminée*"),G21&gt;G$3),1,0)+IF(AND(COUNTIF($L20,"éliminée*"),G21&gt;G$4),1,0)+IF(AND(COUNTIF($L22,"éliminée*"),G21&gt;G$6),1,0)+IF(AND(COUNTIF($L23,"éliminée*"),G21&gt;G$7),1,0)))),"")</f>
        <v/>
      </c>
      <c r="H29" s="15" t="str">
        <f>IF('Vote et Résultats'!$N$10="Valide",IF(COUNTIF($L19:$L23,"gagnante*"),"",IF(COUNTIF($L21,"éliminée*"),"",H21-(IF(AND(COUNTIF($L19,"éliminée*"),H21&gt;H$3),1,0)+IF(AND(COUNTIF($L20,"éliminée*"),H21&gt;H$4),1,0)+IF(AND(COUNTIF($L22,"éliminée*"),H21&gt;H$6),1,0)+IF(AND(COUNTIF($L23,"éliminée*"),H21&gt;H$7),1,0)))),"")</f>
        <v/>
      </c>
      <c r="I29" s="15" t="str">
        <f>IF('Vote et Résultats'!$N$11="Valide",IF(COUNTIF($L19:$L23,"gagnante*"),"",IF(COUNTIF($L21,"éliminée*"),"",I21-(IF(AND(COUNTIF($L19,"éliminée*"),I21&gt;I$3),1,0)+IF(AND(COUNTIF($L20,"éliminée*"),I21&gt;I$4),1,0)+IF(AND(COUNTIF($L22,"éliminée*"),I21&gt;I$6),1,0)+IF(AND(COUNTIF($L23,"éliminée*"),I21&gt;I$7),1,0)))),"")</f>
        <v/>
      </c>
      <c r="J29" s="15" t="str">
        <f>IF('Vote et Résultats'!$N$12="Valide",IF(COUNTIF($L19:$L23,"gagnante*"),"",IF(COUNTIF($L21,"éliminée*"),"",J21-(IF(AND(COUNTIF($L19,"éliminée*"),J21&gt;J$3),1,0)+IF(AND(COUNTIF($L20,"éliminée*"),J21&gt;J$4),1,0)+IF(AND(COUNTIF($L22,"éliminée*"),J21&gt;J$6),1,0)+IF(AND(COUNTIF($L23,"éliminée*"),J21&gt;J$7),1,0)))),"")</f>
        <v/>
      </c>
      <c r="K29" s="15" t="str">
        <f>IF('Vote et Résultats'!$N$13="Valide",IF(COUNTIF($L19:$L23,"gagnante*"),"",IF(COUNTIF($L21,"éliminée*"),"",K21-(IF(AND(COUNTIF($L19,"éliminée*"),K21&gt;K$3),1,0)+IF(AND(COUNTIF($L20,"éliminée*"),K21&gt;K$4),1,0)+IF(AND(COUNTIF($L22,"éliminée*"),K21&gt;K$6),1,0)+IF(AND(COUNTIF($L23,"éliminée*"),K21&gt;K$7),1,0)))),"")</f>
        <v/>
      </c>
      <c r="L29" t="str">
        <f>IF(L21&lt;&gt;"",L21,IF(N29&gt;=6,"gagnante tour "&amp;M29,IF(OR(COUNTIF(N27:N31,"&gt;=6"),O29=MAX(O27:O31)),"éliminée tour "&amp;M29,"")))</f>
        <v>éliminée tour 1</v>
      </c>
      <c r="M29">
        <v>4</v>
      </c>
      <c r="N29" t="str">
        <f t="shared" si="3"/>
        <v/>
      </c>
      <c r="O29" t="str">
        <f>IF(L21&lt;&gt;"","",COUNTIF(B29,B32)+COUNTIF(C29,C32)+COUNTIF(D29,D32)+COUNTIF(E29,E32)+COUNTIF(F29,F32)+COUNTIF(G29,G32)+COUNTIF(H29,H32)+COUNTIF(I29,I32)+COUNTIF(J29,J32)+COUNTIF(K29,K32))</f>
        <v/>
      </c>
      <c r="P29" t="str">
        <f>IF(N29="",P21,RANK(N29,N27:N31))</f>
        <v/>
      </c>
      <c r="Q29">
        <f>IF(Q21&lt;&gt;"",Q21,IF(COUNTIF($L27:$L31,"gagnante*"),IF(P29&lt;&gt;"",P29,MAX(P27:P31)+RIGHT(L29,1)),""))</f>
        <v>4</v>
      </c>
    </row>
    <row r="30" spans="1:17" x14ac:dyDescent="0.25">
      <c r="A30" t="s">
        <v>2</v>
      </c>
      <c r="B30" s="15" t="str">
        <f>IF('Vote et Résultats'!$N$4="Valide",IF(COUNTIF($L19:$L23,"gagnante*"),"",IF(COUNTIF($L22,"éliminée*"),"",B22-(IF(AND(COUNTIF($L19,"éliminée*"),B22&gt;B$3),1,0)+IF(AND(COUNTIF($L20,"éliminée*"),B22&gt;B$4),1,0)+IF(AND(COUNTIF($L21,"éliminée*"),B22&gt;B$5),1,0)+IF(AND(COUNTIF($L23,"éliminée*"),B22&gt;B$7),1,0)))),"")</f>
        <v/>
      </c>
      <c r="C30" s="15" t="str">
        <f>IF('Vote et Résultats'!$N$5="Valide",IF(COUNTIF($L19:$L23,"gagnante*"),"",IF(COUNTIF($L22,"éliminée*"),"",C22-(IF(AND(COUNTIF($L19,"éliminée*"),C22&gt;C$3),1,0)+IF(AND(COUNTIF($L20,"éliminée*"),C22&gt;C$4),1,0)+IF(AND(COUNTIF($L21,"éliminée*"),C22&gt;C$5),1,0)+IF(AND(COUNTIF($L23,"éliminée*"),C22&gt;C$7),1,0)))),"")</f>
        <v/>
      </c>
      <c r="D30" s="15" t="str">
        <f>IF('Vote et Résultats'!$N$6="Valide",IF(COUNTIF($L19:$L23,"gagnante*"),"",IF(COUNTIF($L22,"éliminée*"),"",D22-(IF(AND(COUNTIF($L19,"éliminée*"),D22&gt;D$3),1,0)+IF(AND(COUNTIF($L20,"éliminée*"),D22&gt;D$4),1,0)+IF(AND(COUNTIF($L21,"éliminée*"),D22&gt;D$5),1,0)+IF(AND(COUNTIF($L23,"éliminée*"),D22&gt;D$7),1,0)))),"")</f>
        <v/>
      </c>
      <c r="E30" s="15" t="str">
        <f>IF('Vote et Résultats'!$N$7="Valide",IF(COUNTIF($L19:$L23,"gagnante*"),"",IF(COUNTIF($L22,"éliminée*"),"",E22-(IF(AND(COUNTIF($L19,"éliminée*"),E22&gt;E$3),1,0)+IF(AND(COUNTIF($L20,"éliminée*"),E22&gt;E$4),1,0)+IF(AND(COUNTIF($L21,"éliminée*"),E22&gt;E$5),1,0)+IF(AND(COUNTIF($L23,"éliminée*"),E22&gt;E$7),1,0)))),"")</f>
        <v/>
      </c>
      <c r="F30" s="15" t="str">
        <f>IF('Vote et Résultats'!$N$8="Valide",IF(COUNTIF($L19:$L23,"gagnante*"),"",IF(COUNTIF($L22,"éliminée*"),"",F22-(IF(AND(COUNTIF($L19,"éliminée*"),F22&gt;F$3),1,0)+IF(AND(COUNTIF($L20,"éliminée*"),F22&gt;F$4),1,0)+IF(AND(COUNTIF($L21,"éliminée*"),F22&gt;F$5),1,0)+IF(AND(COUNTIF($L23,"éliminée*"),F22&gt;F$7),1,0)))),"")</f>
        <v/>
      </c>
      <c r="G30" s="15" t="str">
        <f>IF('Vote et Résultats'!$N$9="Valide",IF(COUNTIF($L19:$L23,"gagnante*"),"",IF(COUNTIF($L22,"éliminée*"),"",G22-(IF(AND(COUNTIF($L19,"éliminée*"),G22&gt;G$3),1,0)+IF(AND(COUNTIF($L20,"éliminée*"),G22&gt;G$4),1,0)+IF(AND(COUNTIF($L21,"éliminée*"),G22&gt;G$5),1,0)+IF(AND(COUNTIF($L23,"éliminée*"),G22&gt;G$7),1,0)))),"")</f>
        <v/>
      </c>
      <c r="H30" s="15" t="str">
        <f>IF('Vote et Résultats'!$N$10="Valide",IF(COUNTIF($L19:$L23,"gagnante*"),"",IF(COUNTIF($L22,"éliminée*"),"",H22-(IF(AND(COUNTIF($L19,"éliminée*"),H22&gt;H$3),1,0)+IF(AND(COUNTIF($L20,"éliminée*"),H22&gt;H$4),1,0)+IF(AND(COUNTIF($L21,"éliminée*"),H22&gt;H$5),1,0)+IF(AND(COUNTIF($L23,"éliminée*"),H22&gt;H$7),1,0)))),"")</f>
        <v/>
      </c>
      <c r="I30" s="15" t="str">
        <f>IF('Vote et Résultats'!$N$11="Valide",IF(COUNTIF($L19:$L23,"gagnante*"),"",IF(COUNTIF($L22,"éliminée*"),"",I22-(IF(AND(COUNTIF($L19,"éliminée*"),I22&gt;I$3),1,0)+IF(AND(COUNTIF($L20,"éliminée*"),I22&gt;I$4),1,0)+IF(AND(COUNTIF($L21,"éliminée*"),I22&gt;I$5),1,0)+IF(AND(COUNTIF($L23,"éliminée*"),I22&gt;I$7),1,0)))),"")</f>
        <v/>
      </c>
      <c r="J30" s="15" t="str">
        <f>IF('Vote et Résultats'!$N$12="Valide",IF(COUNTIF($L19:$L23,"gagnante*"),"",IF(COUNTIF($L22,"éliminée*"),"",J22-(IF(AND(COUNTIF($L19,"éliminée*"),J22&gt;J$3),1,0)+IF(AND(COUNTIF($L20,"éliminée*"),J22&gt;J$4),1,0)+IF(AND(COUNTIF($L21,"éliminée*"),J22&gt;J$5),1,0)+IF(AND(COUNTIF($L23,"éliminée*"),J22&gt;J$7),1,0)))),"")</f>
        <v/>
      </c>
      <c r="K30" s="15" t="str">
        <f>IF('Vote et Résultats'!$N$13="Valide",IF(COUNTIF($L19:$L23,"gagnante*"),"",IF(COUNTIF($L22,"éliminée*"),"",K22-(IF(AND(COUNTIF($L19,"éliminée*"),K22&gt;K$3),1,0)+IF(AND(COUNTIF($L20,"éliminée*"),K22&gt;K$4),1,0)+IF(AND(COUNTIF($L21,"éliminée*"),K22&gt;K$5),1,0)+IF(AND(COUNTIF($L23,"éliminée*"),K22&gt;K$7),1,0)))),"")</f>
        <v/>
      </c>
      <c r="L30" t="str">
        <f>IF(L22&lt;&gt;"",L22,IF(N30&gt;=6,"gagnante tour "&amp;M30,IF(OR(COUNTIF(N27:N31,"&gt;=6"),O30=MAX(O27:O31)),"éliminée tour "&amp;M30,"")))</f>
        <v>éliminée tour 1</v>
      </c>
      <c r="M30">
        <v>4</v>
      </c>
      <c r="N30" t="str">
        <f t="shared" si="3"/>
        <v/>
      </c>
      <c r="O30" t="str">
        <f>IF(L22&lt;&gt;"","",COUNTIF(B30,B32)+COUNTIF(C30,C32)+COUNTIF(D30,D32)+COUNTIF(E30,E32)+COUNTIF(F30,F32)+COUNTIF(G30,G32)+COUNTIF(H30,H32)+COUNTIF(I30,I32)+COUNTIF(J30,J32)+COUNTIF(K30,K32))</f>
        <v/>
      </c>
      <c r="P30" t="str">
        <f>IF(N30="",P22,RANK(N30,N27:N31))</f>
        <v/>
      </c>
      <c r="Q30">
        <f>IF(Q22&lt;&gt;"",Q22,IF(COUNTIF($L27:$L31,"gagnante*"),IF(P30&lt;&gt;"",P30,MAX(P27:P31)+RIGHT(L30,1)),""))</f>
        <v>3</v>
      </c>
    </row>
    <row r="31" spans="1:17" x14ac:dyDescent="0.25">
      <c r="A31" t="s">
        <v>3</v>
      </c>
      <c r="B31" s="15" t="str">
        <f>IF('Vote et Résultats'!$N$4="Valide",IF(COUNTIF($L19:$L23,"gagnante*"),"",IF(COUNTIF($L23,"éliminée*"),"",B23-(IF(AND(COUNTIF($L19,"éliminée*"),B23&gt;B$3),1,0)+IF(AND(COUNTIF($L20,"éliminée*"),B23&gt;B$4),1,0)+IF(AND(COUNTIF($L21,"éliminée*"),B23&gt;B$5),1,0)+IF(AND(COUNTIF($L22,"éliminée*"),B23&gt;B$6),1,0)))),"")</f>
        <v/>
      </c>
      <c r="C31" s="15" t="str">
        <f>IF('Vote et Résultats'!$N$5="Valide",IF(COUNTIF($L19:$L23,"gagnante*"),"",IF(COUNTIF($L23,"éliminée*"),"",C23-(IF(AND(COUNTIF($L19,"éliminée*"),C23&gt;C$3),1,0)+IF(AND(COUNTIF($L20,"éliminée*"),C23&gt;C$4),1,0)+IF(AND(COUNTIF($L21,"éliminée*"),C23&gt;C$5),1,0)+IF(AND(COUNTIF($L22,"éliminée*"),C23&gt;C$6),1,0)))),"")</f>
        <v/>
      </c>
      <c r="D31" s="15" t="str">
        <f>IF('Vote et Résultats'!$N$6="Valide",IF(COUNTIF($L19:$L23,"gagnante*"),"",IF(COUNTIF($L23,"éliminée*"),"",D23-(IF(AND(COUNTIF($L19,"éliminée*"),D23&gt;D$3),1,0)+IF(AND(COUNTIF($L20,"éliminée*"),D23&gt;D$4),1,0)+IF(AND(COUNTIF($L21,"éliminée*"),D23&gt;D$5),1,0)+IF(AND(COUNTIF($L22,"éliminée*"),D23&gt;D$6),1,0)))),"")</f>
        <v/>
      </c>
      <c r="E31" s="15" t="str">
        <f>IF('Vote et Résultats'!$N$7="Valide",IF(COUNTIF($L19:$L23,"gagnante*"),"",IF(COUNTIF($L23,"éliminée*"),"",E23-(IF(AND(COUNTIF($L19,"éliminée*"),E23&gt;E$3),1,0)+IF(AND(COUNTIF($L20,"éliminée*"),E23&gt;E$4),1,0)+IF(AND(COUNTIF($L21,"éliminée*"),E23&gt;E$5),1,0)+IF(AND(COUNTIF($L22,"éliminée*"),E23&gt;E$6),1,0)))),"")</f>
        <v/>
      </c>
      <c r="F31" s="15" t="str">
        <f>IF('Vote et Résultats'!$N$8="Valide",IF(COUNTIF($L19:$L23,"gagnante*"),"",IF(COUNTIF($L23,"éliminée*"),"",F23-(IF(AND(COUNTIF($L19,"éliminée*"),F23&gt;F$3),1,0)+IF(AND(COUNTIF($L20,"éliminée*"),F23&gt;F$4),1,0)+IF(AND(COUNTIF($L21,"éliminée*"),F23&gt;F$5),1,0)+IF(AND(COUNTIF($L22,"éliminée*"),F23&gt;F$6),1,0)))),"")</f>
        <v/>
      </c>
      <c r="G31" s="15" t="str">
        <f>IF('Vote et Résultats'!$N$9="Valide",IF(COUNTIF($L19:$L23,"gagnante*"),"",IF(COUNTIF($L23,"éliminée*"),"",G23-(IF(AND(COUNTIF($L19,"éliminée*"),G23&gt;G$3),1,0)+IF(AND(COUNTIF($L20,"éliminée*"),G23&gt;G$4),1,0)+IF(AND(COUNTIF($L21,"éliminée*"),G23&gt;G$5),1,0)+IF(AND(COUNTIF($L22,"éliminée*"),G23&gt;G$6),1,0)))),"")</f>
        <v/>
      </c>
      <c r="H31" s="15" t="str">
        <f>IF('Vote et Résultats'!$N$10="Valide",IF(COUNTIF($L19:$L23,"gagnante*"),"",IF(COUNTIF($L23,"éliminée*"),"",H23-(IF(AND(COUNTIF($L19,"éliminée*"),H23&gt;H$3),1,0)+IF(AND(COUNTIF($L20,"éliminée*"),H23&gt;H$4),1,0)+IF(AND(COUNTIF($L21,"éliminée*"),H23&gt;H$5),1,0)+IF(AND(COUNTIF($L22,"éliminée*"),H23&gt;H$6),1,0)))),"")</f>
        <v/>
      </c>
      <c r="I31" s="15" t="str">
        <f>IF('Vote et Résultats'!$N$11="Valide",IF(COUNTIF($L19:$L23,"gagnante*"),"",IF(COUNTIF($L23,"éliminée*"),"",I23-(IF(AND(COUNTIF($L19,"éliminée*"),I23&gt;I$3),1,0)+IF(AND(COUNTIF($L20,"éliminée*"),I23&gt;I$4),1,0)+IF(AND(COUNTIF($L21,"éliminée*"),I23&gt;I$5),1,0)+IF(AND(COUNTIF($L22,"éliminée*"),I23&gt;I$6),1,0)))),"")</f>
        <v/>
      </c>
      <c r="J31" s="15" t="str">
        <f>IF('Vote et Résultats'!$N$12="Valide",IF(COUNTIF($L19:$L23,"gagnante*"),"",IF(COUNTIF($L23,"éliminée*"),"",J23-(IF(AND(COUNTIF($L19,"éliminée*"),J23&gt;J$3),1,0)+IF(AND(COUNTIF($L20,"éliminée*"),J23&gt;J$4),1,0)+IF(AND(COUNTIF($L21,"éliminée*"),J23&gt;J$5),1,0)+IF(AND(COUNTIF($L22,"éliminée*"),J23&gt;J$6),1,0)))),"")</f>
        <v/>
      </c>
      <c r="K31" s="15" t="str">
        <f>IF('Vote et Résultats'!$N$13="Valide",IF(COUNTIF($L19:$L23,"gagnante*"),"",IF(COUNTIF($L23,"éliminée*"),"",K23-(IF(AND(COUNTIF($L19,"éliminée*"),K23&gt;K$3),1,0)+IF(AND(COUNTIF($L20,"éliminée*"),K23&gt;K$4),1,0)+IF(AND(COUNTIF($L21,"éliminée*"),K23&gt;K$5),1,0)+IF(AND(COUNTIF($L22,"éliminée*"),K23&gt;K$6),1,0)))),"")</f>
        <v/>
      </c>
      <c r="L31" t="str">
        <f>IF(L23&lt;&gt;"",L23,IF(N31&gt;=6,"gagnante tour "&amp;M31,IF(OR(COUNTIF(N27:N31,"&gt;=6"),O31=MAX(O27:O31)),"éliminée tour "&amp;M31,"")))</f>
        <v>éliminée tour 1</v>
      </c>
      <c r="M31">
        <v>4</v>
      </c>
      <c r="N31" t="str">
        <f t="shared" si="3"/>
        <v/>
      </c>
      <c r="O31" t="str">
        <f>IF(L23&lt;&gt;"","",COUNTIF(B31,B32)+COUNTIF(C31,C32)+COUNTIF(D31,D32)+COUNTIF(E31,E32)+COUNTIF(F31,F32)+COUNTIF(G31,G32)+COUNTIF(H31,H32)+COUNTIF(I31,I32)+COUNTIF(J31,J32)+COUNTIF(K31,K32))</f>
        <v/>
      </c>
      <c r="P31" t="str">
        <f>IF(N31="",P23,RANK(N31,N27:N31))</f>
        <v/>
      </c>
      <c r="Q31">
        <f>IF(Q23&lt;&gt;"",Q23,IF(COUNTIF($L27:$L31,"gagnante*"),IF(P31&lt;&gt;"",P31,MAX(P27:P31)+RIGHT(L31,1)),""))</f>
        <v>4</v>
      </c>
    </row>
    <row r="32" spans="1:17" x14ac:dyDescent="0.25">
      <c r="A32" t="s">
        <v>86</v>
      </c>
      <c r="B32" s="15" t="str">
        <f>IF('Vote et Résultats'!$N$4="Valide",IF(COUNTIF($L19:$L23,"gagnante*"),"",MAX(B27:B31)),"")</f>
        <v/>
      </c>
      <c r="C32" s="15" t="str">
        <f>IF('Vote et Résultats'!$N$5="Valide",IF(COUNTIF($L19:$L23,"gagnante*"),"",MAX(C27:C31)),"")</f>
        <v/>
      </c>
      <c r="D32" s="15" t="str">
        <f>IF('Vote et Résultats'!$N$6="Valide",IF(COUNTIF($L19:$L23,"gagnante*"),"",MAX(D27:D31)),"")</f>
        <v/>
      </c>
      <c r="E32" s="15" t="str">
        <f>IF('Vote et Résultats'!$N$7="Valide",IF(COUNTIF($L19:$L23,"gagnante*"),"",MAX(E27:E31)),"")</f>
        <v/>
      </c>
      <c r="F32" s="15" t="str">
        <f>IF('Vote et Résultats'!$N$8="Valide",IF(COUNTIF($L19:$L23,"gagnante*"),"",MAX(F27:F31)),"")</f>
        <v/>
      </c>
      <c r="G32" s="15" t="str">
        <f>IF('Vote et Résultats'!$N$9="Valide",IF(COUNTIF($L19:$L23,"gagnante*"),"",MAX(G27:G31)),"")</f>
        <v/>
      </c>
      <c r="H32" s="15" t="str">
        <f>IF('Vote et Résultats'!$N$10="Valide",IF(COUNTIF($L19:$L23,"gagnante*"),"",MAX(H27:H31)),"")</f>
        <v/>
      </c>
      <c r="I32" s="15" t="str">
        <f>IF('Vote et Résultats'!$N$11="Valide",IF(COUNTIF($L19:$L23,"gagnante*"),"",MAX(I27:I31)),"")</f>
        <v/>
      </c>
      <c r="J32" s="15" t="str">
        <f>IF('Vote et Résultats'!$N$12="Valide",IF(COUNTIF($L19:$L23,"gagnante*"),"",MAX(J27:J31)),"")</f>
        <v/>
      </c>
      <c r="K32" s="15" t="str">
        <f>IF('Vote et Résultats'!$N$13="Valide",IF(COUNTIF($L19:$L23,"gagnante*"),"",MAX(K27:K31)),"")</f>
        <v/>
      </c>
    </row>
    <row r="33" spans="1:17" x14ac:dyDescent="0.25">
      <c r="A33" s="122" t="s">
        <v>93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</row>
    <row r="34" spans="1:17" x14ac:dyDescent="0.25">
      <c r="B34" t="str">
        <f>IF(COUNTIF(L27:L31,"gagnante*"),"","votant·e 1")</f>
        <v/>
      </c>
      <c r="C34" t="str">
        <f>IF(COUNTIF(L27:L31,"gagnante*"),"","votant·e 2")</f>
        <v/>
      </c>
      <c r="D34" t="str">
        <f>IF(COUNTIF(L27:L31,"gagnante*"),"","votant·e 3")</f>
        <v/>
      </c>
      <c r="E34" t="str">
        <f>IF(COUNTIF(L27:L31,"gagnante*"),"","votant·e 4")</f>
        <v/>
      </c>
      <c r="F34" t="str">
        <f>IF(COUNTIF(L27:L31,"gagnante*"),"","votant·e 5")</f>
        <v/>
      </c>
      <c r="G34" t="str">
        <f>IF(COUNTIF(L27:L31,"gagnante*"),"","votant·e 6")</f>
        <v/>
      </c>
      <c r="H34" t="str">
        <f>IF(COUNTIF(L27:L31,"gagnante*"),"","votant·e 7")</f>
        <v/>
      </c>
      <c r="I34" t="str">
        <f>IF(COUNTIF(L27:L31,"gagnante*"),"","votant·e 8")</f>
        <v/>
      </c>
      <c r="J34" t="str">
        <f>IF(COUNTIF(L27:L31,"gagnante*"),"","votant·e 9")</f>
        <v/>
      </c>
      <c r="K34" t="str">
        <f>IF(COUNTIF(L27:L31,"gagnante*"),"","votant·e 10")</f>
        <v/>
      </c>
      <c r="L34" t="s">
        <v>63</v>
      </c>
      <c r="M34" t="s">
        <v>77</v>
      </c>
      <c r="N34" t="s">
        <v>78</v>
      </c>
      <c r="O34" t="s">
        <v>85</v>
      </c>
      <c r="P34" t="s">
        <v>87</v>
      </c>
      <c r="Q34" t="s">
        <v>76</v>
      </c>
    </row>
    <row r="35" spans="1:17" x14ac:dyDescent="0.25">
      <c r="A35" t="s">
        <v>34</v>
      </c>
      <c r="B35" s="15" t="str">
        <f>IF('Vote et Résultats'!$N$4="Valide",IF(COUNTIF($L27:$L31,"gagnante*"),"",IF(COUNTIF($L27,"éliminée*"),"",B27-(IF(AND(COUNTIF($L28,"éliminée*"),B27&gt;B$4),1,0)+IF(AND(COUNTIF($L29,"éliminée*"),B27&gt;B$5),1,0)+IF(AND(COUNTIF($L30,"éliminée*"),B27&gt;B$6),1,0)+IF(AND(COUNTIF($L31,"éliminée*"),B27&gt;B$7),1,0)))),"")</f>
        <v/>
      </c>
      <c r="C35" s="15" t="str">
        <f>IF('Vote et Résultats'!$N$5="Valide",IF(COUNTIF($L27:$L31,"gagnante*"),"",IF(COUNTIF($L27,"éliminée*"),"",C27-(IF(AND(COUNTIF($L28,"éliminée*"),C27&gt;C$4),1,0)+IF(AND(COUNTIF($L29,"éliminée*"),C27&gt;C$5),1,0)+IF(AND(COUNTIF($L30,"éliminée*"),C27&gt;C$6),1,0)+IF(AND(COUNTIF($L31,"éliminée*"),C27&gt;C$7),1,0)))),"")</f>
        <v/>
      </c>
      <c r="D35" s="15" t="str">
        <f>IF('Vote et Résultats'!$N$6="Valide",IF(COUNTIF($L27:$L31,"gagnante*"),"",IF(COUNTIF($L27,"éliminée*"),"",D27-(IF(AND(COUNTIF($L28,"éliminée*"),D27&gt;D$4),1,0)+IF(AND(COUNTIF($L29,"éliminée*"),D27&gt;D$5),1,0)+IF(AND(COUNTIF($L30,"éliminée*"),D27&gt;D$6),1,0)+IF(AND(COUNTIF($L31,"éliminée*"),D27&gt;D$7),1,0)))),"")</f>
        <v/>
      </c>
      <c r="E35" s="15" t="str">
        <f>IF('Vote et Résultats'!$N$7="Valide",IF(COUNTIF($L27:$L31,"gagnante*"),"",IF(COUNTIF($L27,"éliminée*"),"",E27-(IF(AND(COUNTIF($L28,"éliminée*"),E27&gt;E$4),1,0)+IF(AND(COUNTIF($L29,"éliminée*"),E27&gt;E$5),1,0)+IF(AND(COUNTIF($L30,"éliminée*"),E27&gt;E$6),1,0)+IF(AND(COUNTIF($L31,"éliminée*"),E27&gt;E$7),1,0)))),"")</f>
        <v/>
      </c>
      <c r="F35" s="15" t="str">
        <f>IF('Vote et Résultats'!$N$8="Valide",IF(COUNTIF($L27:$L31,"gagnante*"),"",IF(COUNTIF($L27,"éliminée*"),"",F27-(IF(AND(COUNTIF($L28,"éliminée*"),F27&gt;F$4),1,0)+IF(AND(COUNTIF($L29,"éliminée*"),F27&gt;F$5),1,0)+IF(AND(COUNTIF($L30,"éliminée*"),F27&gt;F$6),1,0)+IF(AND(COUNTIF($L31,"éliminée*"),F27&gt;F$7),1,0)))),"")</f>
        <v/>
      </c>
      <c r="G35" s="15" t="str">
        <f>IF('Vote et Résultats'!$N$9="Valide",IF(COUNTIF($L27:$L31,"gagnante*"),"",IF(COUNTIF($L27,"éliminée*"),"",G27-(IF(AND(COUNTIF($L28,"éliminée*"),G27&gt;G$4),1,0)+IF(AND(COUNTIF($L29,"éliminée*"),G27&gt;G$5),1,0)+IF(AND(COUNTIF($L30,"éliminée*"),G27&gt;G$6),1,0)+IF(AND(COUNTIF($L31,"éliminée*"),G27&gt;G$7),1,0)))),"")</f>
        <v/>
      </c>
      <c r="H35" s="15" t="str">
        <f>IF('Vote et Résultats'!$N$10="Valide",IF(COUNTIF($L27:$L31,"gagnante*"),"",IF(COUNTIF($L27,"éliminée*"),"",H27-(IF(AND(COUNTIF($L28,"éliminée*"),H27&gt;H$4),1,0)+IF(AND(COUNTIF($L29,"éliminée*"),H27&gt;H$5),1,0)+IF(AND(COUNTIF($L30,"éliminée*"),H27&gt;H$6),1,0)+IF(AND(COUNTIF($L31,"éliminée*"),H27&gt;H$7),1,0)))),"")</f>
        <v/>
      </c>
      <c r="I35" s="15" t="str">
        <f>IF('Vote et Résultats'!$N$11="Valide",IF(COUNTIF($L27:$L31,"gagnante*"),"",IF(COUNTIF($L27,"éliminée*"),"",I27-(IF(AND(COUNTIF($L28,"éliminée*"),I27&gt;I$4),1,0)+IF(AND(COUNTIF($L29,"éliminée*"),I27&gt;I$5),1,0)+IF(AND(COUNTIF($L30,"éliminée*"),I27&gt;I$6),1,0)+IF(AND(COUNTIF($L31,"éliminée*"),I27&gt;I$7),1,0)))),"")</f>
        <v/>
      </c>
      <c r="J35" s="15" t="str">
        <f>IF('Vote et Résultats'!$N$12="Valide",IF(COUNTIF($L27:$L31,"gagnante*"),"",IF(COUNTIF($L27,"éliminée*"),"",J27-(IF(AND(COUNTIF($L28,"éliminée*"),J27&gt;J$4),1,0)+IF(AND(COUNTIF($L29,"éliminée*"),J27&gt;J$5),1,0)+IF(AND(COUNTIF($L30,"éliminée*"),J27&gt;J$6),1,0)+IF(AND(COUNTIF($L31,"éliminée*"),J27&gt;J$7),1,0)))),"")</f>
        <v/>
      </c>
      <c r="K35" s="15" t="str">
        <f>IF('Vote et Résultats'!$N$13="Valide",IF(COUNTIF($L27:$L31,"gagnante*"),"",IF(COUNTIF($L27,"éliminée*"),"",K27-(IF(AND(COUNTIF($L28,"éliminée*"),K27&gt;K$4),1,0)+IF(AND(COUNTIF($L29,"éliminée*"),K27&gt;K$5),1,0)+IF(AND(COUNTIF($L30,"éliminée*"),K27&gt;K$6),1,0)+IF(AND(COUNTIF($L31,"éliminée*"),K27&gt;K$7),1,0)))),"")</f>
        <v/>
      </c>
      <c r="L35" t="str">
        <f>IF(L27&lt;&gt;"",L27,IF(N35&gt;=6,"gagnante tour "&amp;M35,IF(OR(COUNTIF(N35:N39,"&gt;=6"),O35=MAX(O35:O39)),"éliminée tour "&amp;M35,"")))</f>
        <v>gagnante tour 1</v>
      </c>
      <c r="M35">
        <v>5</v>
      </c>
      <c r="N35" t="str">
        <f>IF(L27&lt;&gt;"","",COUNTIF(B35:K35,1))</f>
        <v/>
      </c>
      <c r="O35" t="str">
        <f>IF(L27&lt;&gt;"","",COUNTIF(B35,B40)+COUNTIF(C35,C40)+COUNTIF(D35,D40)+COUNTIF(E35,E40)+COUNTIF(F35,F40)+COUNTIF(G35,G40)+COUNTIF(H35,H40)+COUNTIF(I35,I40)+COUNTIF(J35,J40)+COUNTIF(K35,K40))</f>
        <v/>
      </c>
      <c r="P35" t="str">
        <f>IF(N35="",P27,RANK(N35,N35:N39))</f>
        <v/>
      </c>
      <c r="Q35">
        <f>IF(Q27&lt;&gt;"",Q27,IF(COUNTIF($L35:$L39,"gagnante*"),IF(P35&lt;&gt;"",P35,MAX(P35:P39)+RIGHT(L35,1)),""))</f>
        <v>1</v>
      </c>
    </row>
    <row r="36" spans="1:17" x14ac:dyDescent="0.25">
      <c r="A36" t="s">
        <v>0</v>
      </c>
      <c r="B36" s="15" t="str">
        <f>IF('Vote et Résultats'!$N$4="Valide",IF(COUNTIF($L27:$L31,"gagnante*"),"",IF(COUNTIF($L28,"éliminée*"),"",B28-(IF(AND(COUNTIF($L27,"éliminée*"),B28&gt;B$3),1,0)+IF(AND(COUNTIF($L29,"éliminée*"),B28&gt;B$5),1,0)+IF(AND(COUNTIF($L30,"éliminée*"),B28&gt;B$6),1,0)+IF(AND(COUNTIF($L31,"éliminée*"),B28&gt;B$7),1,0)))),"")</f>
        <v/>
      </c>
      <c r="C36" s="15" t="str">
        <f>IF('Vote et Résultats'!$N$5="Valide",IF(COUNTIF($L27:$L31,"gagnante*"),"",IF(COUNTIF($L28,"éliminée*"),"",C28-(IF(AND(COUNTIF($L27,"éliminée*"),C28&gt;C$3),1,0)+IF(AND(COUNTIF($L29,"éliminée*"),C28&gt;C$5),1,0)+IF(AND(COUNTIF($L30,"éliminée*"),C28&gt;C$6),1,0)+IF(AND(COUNTIF($L31,"éliminée*"),C28&gt;C$7),1,0)))),"")</f>
        <v/>
      </c>
      <c r="D36" s="15" t="str">
        <f>IF('Vote et Résultats'!$N$6="Valide",IF(COUNTIF($L27:$L31,"gagnante*"),"",IF(COUNTIF($L28,"éliminée*"),"",D28-(IF(AND(COUNTIF($L27,"éliminée*"),D28&gt;D$3),1,0)+IF(AND(COUNTIF($L29,"éliminée*"),D28&gt;D$5),1,0)+IF(AND(COUNTIF($L30,"éliminée*"),D28&gt;D$6),1,0)+IF(AND(COUNTIF($L31,"éliminée*"),D28&gt;D$7),1,0)))),"")</f>
        <v/>
      </c>
      <c r="E36" s="15" t="str">
        <f>IF('Vote et Résultats'!$N$7="Valide",IF(COUNTIF($L27:$L31,"gagnante*"),"",IF(COUNTIF($L28,"éliminée*"),"",E28-(IF(AND(COUNTIF($L27,"éliminée*"),E28&gt;E$3),1,0)+IF(AND(COUNTIF($L29,"éliminée*"),E28&gt;E$5),1,0)+IF(AND(COUNTIF($L30,"éliminée*"),E28&gt;E$6),1,0)+IF(AND(COUNTIF($L31,"éliminée*"),E28&gt;E$7),1,0)))),"")</f>
        <v/>
      </c>
      <c r="F36" s="15" t="str">
        <f>IF('Vote et Résultats'!$N$8="Valide",IF(COUNTIF($L27:$L31,"gagnante*"),"",IF(COUNTIF($L28,"éliminée*"),"",F28-(IF(AND(COUNTIF($L27,"éliminée*"),F28&gt;F$3),1,0)+IF(AND(COUNTIF($L29,"éliminée*"),F28&gt;F$5),1,0)+IF(AND(COUNTIF($L30,"éliminée*"),F28&gt;F$6),1,0)+IF(AND(COUNTIF($L31,"éliminée*"),F28&gt;F$7),1,0)))),"")</f>
        <v/>
      </c>
      <c r="G36" s="15" t="str">
        <f>IF('Vote et Résultats'!$N$9="Valide",IF(COUNTIF($L27:$L31,"gagnante*"),"",IF(COUNTIF($L28,"éliminée*"),"",G28-(IF(AND(COUNTIF($L27,"éliminée*"),G28&gt;G$3),1,0)+IF(AND(COUNTIF($L29,"éliminée*"),G28&gt;G$5),1,0)+IF(AND(COUNTIF($L30,"éliminée*"),G28&gt;G$6),1,0)+IF(AND(COUNTIF($L31,"éliminée*"),G28&gt;G$7),1,0)))),"")</f>
        <v/>
      </c>
      <c r="H36" s="15" t="str">
        <f>IF('Vote et Résultats'!$N$10="Valide",IF(COUNTIF($L27:$L31,"gagnante*"),"",IF(COUNTIF($L28,"éliminée*"),"",H28-(IF(AND(COUNTIF($L27,"éliminée*"),H28&gt;H$3),1,0)+IF(AND(COUNTIF($L29,"éliminée*"),H28&gt;H$5),1,0)+IF(AND(COUNTIF($L30,"éliminée*"),H28&gt;H$6),1,0)+IF(AND(COUNTIF($L31,"éliminée*"),H28&gt;H$7),1,0)))),"")</f>
        <v/>
      </c>
      <c r="I36" s="15" t="str">
        <f>IF('Vote et Résultats'!$N$11="Valide",IF(COUNTIF($L27:$L31,"gagnante*"),"",IF(COUNTIF($L28,"éliminée*"),"",I28-(IF(AND(COUNTIF($L27,"éliminée*"),I28&gt;I$3),1,0)+IF(AND(COUNTIF($L29,"éliminée*"),I28&gt;I$5),1,0)+IF(AND(COUNTIF($L30,"éliminée*"),I28&gt;I$6),1,0)+IF(AND(COUNTIF($L31,"éliminée*"),I28&gt;I$7),1,0)))),"")</f>
        <v/>
      </c>
      <c r="J36" s="15" t="str">
        <f>IF('Vote et Résultats'!$N$12="Valide",IF(COUNTIF($L27:$L31,"gagnante*"),"",IF(COUNTIF($L28,"éliminée*"),"",J28-(IF(AND(COUNTIF($L27,"éliminée*"),J28&gt;J$3),1,0)+IF(AND(COUNTIF($L29,"éliminée*"),J28&gt;J$5),1,0)+IF(AND(COUNTIF($L30,"éliminée*"),J28&gt;J$6),1,0)+IF(AND(COUNTIF($L31,"éliminée*"),J28&gt;J$7),1,0)))),"")</f>
        <v/>
      </c>
      <c r="K36" s="15" t="str">
        <f>IF('Vote et Résultats'!$N$13="Valide",IF(COUNTIF($L27:$L31,"gagnante*"),"",IF(COUNTIF($L28,"éliminée*"),"",K28-(IF(AND(COUNTIF($L27,"éliminée*"),K28&gt;K$3),1,0)+IF(AND(COUNTIF($L29,"éliminée*"),K28&gt;K$5),1,0)+IF(AND(COUNTIF($L30,"éliminée*"),K28&gt;K$6),1,0)+IF(AND(COUNTIF($L31,"éliminée*"),K28&gt;K$7),1,0)))),"")</f>
        <v/>
      </c>
      <c r="L36" t="str">
        <f>IF(L28&lt;&gt;"",L28,IF(N36&gt;=6,"gagnante tour "&amp;M36,IF(OR(COUNTIF(N35:N39,"&gt;=6"),O36=MAX(O35:O39)),"éliminée tour "&amp;M36,"")))</f>
        <v>éliminée tour 1</v>
      </c>
      <c r="M36">
        <v>5</v>
      </c>
      <c r="N36" t="str">
        <f t="shared" ref="N36:N39" si="4">IF(L28&lt;&gt;"","",COUNTIF(B36:K36,1))</f>
        <v/>
      </c>
      <c r="O36" t="str">
        <f>IF(L28&lt;&gt;"","",COUNTIF(B36,B40)+COUNTIF(C36,C40)+COUNTIF(D36,D40)+COUNTIF(E36,E40)+COUNTIF(F36,F40)+COUNTIF(G36,G40)+COUNTIF(H36,H40)+COUNTIF(I36,I40)+COUNTIF(J36,J40)+COUNTIF(K36,K40))</f>
        <v/>
      </c>
      <c r="P36" t="str">
        <f>IF(N36="",P28,RANK(N36,N35:N39))</f>
        <v/>
      </c>
      <c r="Q36">
        <f>IF(Q28&lt;&gt;"",Q28,IF(COUNTIF($L35:$L39,"gagnante*"),IF(P36&lt;&gt;"",P36,MAX(P35:P39)+RIGHT(L36,1)),""))</f>
        <v>2</v>
      </c>
    </row>
    <row r="37" spans="1:17" x14ac:dyDescent="0.25">
      <c r="A37" t="s">
        <v>1</v>
      </c>
      <c r="B37" s="15" t="str">
        <f>IF('Vote et Résultats'!$N$4="Valide",IF(COUNTIF($L27:$L31,"gagnante*"),"",IF(COUNTIF($L29,"éliminée*"),"",B29-(IF(AND(COUNTIF($L27,"éliminée*"),B29&gt;B$3),1,0)+IF(AND(COUNTIF($L28,"éliminée*"),B29&gt;B$4),1,0)+IF(AND(COUNTIF($L30,"éliminée*"),B29&gt;B$6),1,0)+IF(AND(COUNTIF($L31,"éliminée*"),B29&gt;B$7),1,0)))),"")</f>
        <v/>
      </c>
      <c r="C37" s="15" t="str">
        <f>IF('Vote et Résultats'!$N$5="Valide",IF(COUNTIF($L27:$L31,"gagnante*"),"",IF(COUNTIF($L29,"éliminée*"),"",C29-(IF(AND(COUNTIF($L27,"éliminée*"),C29&gt;C$3),1,0)+IF(AND(COUNTIF($L28,"éliminée*"),C29&gt;C$4),1,0)+IF(AND(COUNTIF($L30,"éliminée*"),C29&gt;C$6),1,0)+IF(AND(COUNTIF($L31,"éliminée*"),C29&gt;C$7),1,0)))),"")</f>
        <v/>
      </c>
      <c r="D37" s="15" t="str">
        <f>IF('Vote et Résultats'!$N$6="Valide",IF(COUNTIF($L27:$L31,"gagnante*"),"",IF(COUNTIF($L29,"éliminée*"),"",D29-(IF(AND(COUNTIF($L27,"éliminée*"),D29&gt;D$3),1,0)+IF(AND(COUNTIF($L28,"éliminée*"),D29&gt;D$4),1,0)+IF(AND(COUNTIF($L30,"éliminée*"),D29&gt;D$6),1,0)+IF(AND(COUNTIF($L31,"éliminée*"),D29&gt;D$7),1,0)))),"")</f>
        <v/>
      </c>
      <c r="E37" s="15" t="str">
        <f>IF('Vote et Résultats'!$N$7="Valide",IF(COUNTIF($L27:$L31,"gagnante*"),"",IF(COUNTIF($L29,"éliminée*"),"",E29-(IF(AND(COUNTIF($L27,"éliminée*"),E29&gt;E$3),1,0)+IF(AND(COUNTIF($L28,"éliminée*"),E29&gt;E$4),1,0)+IF(AND(COUNTIF($L30,"éliminée*"),E29&gt;E$6),1,0)+IF(AND(COUNTIF($L31,"éliminée*"),E29&gt;E$7),1,0)))),"")</f>
        <v/>
      </c>
      <c r="F37" s="15" t="str">
        <f>IF('Vote et Résultats'!$N$8="Valide",IF(COUNTIF($L27:$L31,"gagnante*"),"",IF(COUNTIF($L29,"éliminée*"),"",F29-(IF(AND(COUNTIF($L27,"éliminée*"),F29&gt;F$3),1,0)+IF(AND(COUNTIF($L28,"éliminée*"),F29&gt;F$4),1,0)+IF(AND(COUNTIF($L30,"éliminée*"),F29&gt;F$6),1,0)+IF(AND(COUNTIF($L31,"éliminée*"),F29&gt;F$7),1,0)))),"")</f>
        <v/>
      </c>
      <c r="G37" s="15" t="str">
        <f>IF('Vote et Résultats'!$N$9="Valide",IF(COUNTIF($L27:$L31,"gagnante*"),"",IF(COUNTIF($L29,"éliminée*"),"",G29-(IF(AND(COUNTIF($L27,"éliminée*"),G29&gt;G$3),1,0)+IF(AND(COUNTIF($L28,"éliminée*"),G29&gt;G$4),1,0)+IF(AND(COUNTIF($L30,"éliminée*"),G29&gt;G$6),1,0)+IF(AND(COUNTIF($L31,"éliminée*"),G29&gt;G$7),1,0)))),"")</f>
        <v/>
      </c>
      <c r="H37" s="15" t="str">
        <f>IF('Vote et Résultats'!$N$10="Valide",IF(COUNTIF($L27:$L31,"gagnante*"),"",IF(COUNTIF($L29,"éliminée*"),"",H29-(IF(AND(COUNTIF($L27,"éliminée*"),H29&gt;H$3),1,0)+IF(AND(COUNTIF($L28,"éliminée*"),H29&gt;H$4),1,0)+IF(AND(COUNTIF($L30,"éliminée*"),H29&gt;H$6),1,0)+IF(AND(COUNTIF($L31,"éliminée*"),H29&gt;H$7),1,0)))),"")</f>
        <v/>
      </c>
      <c r="I37" s="15" t="str">
        <f>IF('Vote et Résultats'!$N$11="Valide",IF(COUNTIF($L27:$L31,"gagnante*"),"",IF(COUNTIF($L29,"éliminée*"),"",I29-(IF(AND(COUNTIF($L27,"éliminée*"),I29&gt;I$3),1,0)+IF(AND(COUNTIF($L28,"éliminée*"),I29&gt;I$4),1,0)+IF(AND(COUNTIF($L30,"éliminée*"),I29&gt;I$6),1,0)+IF(AND(COUNTIF($L31,"éliminée*"),I29&gt;I$7),1,0)))),"")</f>
        <v/>
      </c>
      <c r="J37" s="15" t="str">
        <f>IF('Vote et Résultats'!$N$12="Valide",IF(COUNTIF($L27:$L31,"gagnante*"),"",IF(COUNTIF($L29,"éliminée*"),"",J29-(IF(AND(COUNTIF($L27,"éliminée*"),J29&gt;J$3),1,0)+IF(AND(COUNTIF($L28,"éliminée*"),J29&gt;J$4),1,0)+IF(AND(COUNTIF($L30,"éliminée*"),J29&gt;J$6),1,0)+IF(AND(COUNTIF($L31,"éliminée*"),J29&gt;J$7),1,0)))),"")</f>
        <v/>
      </c>
      <c r="K37" s="15" t="str">
        <f>IF('Vote et Résultats'!$N$13="Valide",IF(COUNTIF($L27:$L31,"gagnante*"),"",IF(COUNTIF($L29,"éliminée*"),"",K29-(IF(AND(COUNTIF($L27,"éliminée*"),K29&gt;K$3),1,0)+IF(AND(COUNTIF($L28,"éliminée*"),K29&gt;K$4),1,0)+IF(AND(COUNTIF($L30,"éliminée*"),K29&gt;K$6),1,0)+IF(AND(COUNTIF($L31,"éliminée*"),K29&gt;K$7),1,0)))),"")</f>
        <v/>
      </c>
      <c r="L37" t="str">
        <f>IF(L29&lt;&gt;"",L29,IF(N37&gt;=6,"gagnante tour "&amp;M37,IF(OR(COUNTIF(N35:N39,"&gt;=6"),O37=MAX(O35:O39)),"éliminée tour "&amp;M37,"")))</f>
        <v>éliminée tour 1</v>
      </c>
      <c r="M37">
        <v>5</v>
      </c>
      <c r="N37" t="str">
        <f t="shared" si="4"/>
        <v/>
      </c>
      <c r="O37" t="str">
        <f>IF(L29&lt;&gt;"","",COUNTIF(B37,B40)+COUNTIF(C37,C40)+COUNTIF(D37,D40)+COUNTIF(E37,E40)+COUNTIF(F37,F40)+COUNTIF(G37,G40)+COUNTIF(H37,H40)+COUNTIF(I37,I40)+COUNTIF(J37,J40)+COUNTIF(K37,K40))</f>
        <v/>
      </c>
      <c r="P37" t="str">
        <f>IF(N37="",P29,RANK(N37,N35:N39))</f>
        <v/>
      </c>
      <c r="Q37">
        <f>IF(Q29&lt;&gt;"",Q29,IF(COUNTIF($L35:$L39,"gagnante*"),IF(P37&lt;&gt;"",P37,MAX(P35:P39)+RIGHT(L37,1)),""))</f>
        <v>4</v>
      </c>
    </row>
    <row r="38" spans="1:17" x14ac:dyDescent="0.25">
      <c r="A38" t="s">
        <v>2</v>
      </c>
      <c r="B38" s="15" t="str">
        <f>IF('Vote et Résultats'!$N$4="Valide",IF(COUNTIF($L27:$L31,"gagnante*"),"",IF(COUNTIF($L30,"éliminée*"),"",B30-(IF(AND(COUNTIF($L27,"éliminée*"),B30&gt;B$3),1,0)+IF(AND(COUNTIF($L28,"éliminée*"),B30&gt;B$4),1,0)+IF(AND(COUNTIF($L29,"éliminée*"),B30&gt;B$5),1,0)+IF(AND(COUNTIF($L31,"éliminée*"),B30&gt;B$7),1,0)))),"")</f>
        <v/>
      </c>
      <c r="C38" s="15" t="str">
        <f>IF('Vote et Résultats'!$N$5="Valide",IF(COUNTIF($L27:$L31,"gagnante*"),"",IF(COUNTIF($L30,"éliminée*"),"",C30-(IF(AND(COUNTIF($L27,"éliminée*"),C30&gt;C$3),1,0)+IF(AND(COUNTIF($L28,"éliminée*"),C30&gt;C$4),1,0)+IF(AND(COUNTIF($L29,"éliminée*"),C30&gt;C$5),1,0)+IF(AND(COUNTIF($L31,"éliminée*"),C30&gt;C$7),1,0)))),"")</f>
        <v/>
      </c>
      <c r="D38" s="15" t="str">
        <f>IF('Vote et Résultats'!$N$6="Valide",IF(COUNTIF($L27:$L31,"gagnante*"),"",IF(COUNTIF($L30,"éliminée*"),"",D30-(IF(AND(COUNTIF($L27,"éliminée*"),D30&gt;D$3),1,0)+IF(AND(COUNTIF($L28,"éliminée*"),D30&gt;D$4),1,0)+IF(AND(COUNTIF($L29,"éliminée*"),D30&gt;D$5),1,0)+IF(AND(COUNTIF($L31,"éliminée*"),D30&gt;D$7),1,0)))),"")</f>
        <v/>
      </c>
      <c r="E38" s="15" t="str">
        <f>IF('Vote et Résultats'!$N$7="Valide",IF(COUNTIF($L27:$L31,"gagnante*"),"",IF(COUNTIF($L30,"éliminée*"),"",E30-(IF(AND(COUNTIF($L27,"éliminée*"),E30&gt;E$3),1,0)+IF(AND(COUNTIF($L28,"éliminée*"),E30&gt;E$4),1,0)+IF(AND(COUNTIF($L29,"éliminée*"),E30&gt;E$5),1,0)+IF(AND(COUNTIF($L31,"éliminée*"),E30&gt;E$7),1,0)))),"")</f>
        <v/>
      </c>
      <c r="F38" s="15" t="str">
        <f>IF('Vote et Résultats'!$N$8="Valide",IF(COUNTIF($L27:$L31,"gagnante*"),"",IF(COUNTIF($L30,"éliminée*"),"",F30-(IF(AND(COUNTIF($L27,"éliminée*"),F30&gt;F$3),1,0)+IF(AND(COUNTIF($L28,"éliminée*"),F30&gt;F$4),1,0)+IF(AND(COUNTIF($L29,"éliminée*"),F30&gt;F$5),1,0)+IF(AND(COUNTIF($L31,"éliminée*"),F30&gt;F$7),1,0)))),"")</f>
        <v/>
      </c>
      <c r="G38" s="15" t="str">
        <f>IF('Vote et Résultats'!$N$9="Valide",IF(COUNTIF($L27:$L31,"gagnante*"),"",IF(COUNTIF($L30,"éliminée*"),"",G30-(IF(AND(COUNTIF($L27,"éliminée*"),G30&gt;G$3),1,0)+IF(AND(COUNTIF($L28,"éliminée*"),G30&gt;G$4),1,0)+IF(AND(COUNTIF($L29,"éliminée*"),G30&gt;G$5),1,0)+IF(AND(COUNTIF($L31,"éliminée*"),G30&gt;G$7),1,0)))),"")</f>
        <v/>
      </c>
      <c r="H38" s="15" t="str">
        <f>IF('Vote et Résultats'!$N$10="Valide",IF(COUNTIF($L27:$L31,"gagnante*"),"",IF(COUNTIF($L30,"éliminée*"),"",H30-(IF(AND(COUNTIF($L27,"éliminée*"),H30&gt;H$3),1,0)+IF(AND(COUNTIF($L28,"éliminée*"),H30&gt;H$4),1,0)+IF(AND(COUNTIF($L29,"éliminée*"),H30&gt;H$5),1,0)+IF(AND(COUNTIF($L31,"éliminée*"),H30&gt;H$7),1,0)))),"")</f>
        <v/>
      </c>
      <c r="I38" s="15" t="str">
        <f>IF('Vote et Résultats'!$N$11="Valide",IF(COUNTIF($L27:$L31,"gagnante*"),"",IF(COUNTIF($L30,"éliminée*"),"",I30-(IF(AND(COUNTIF($L27,"éliminée*"),I30&gt;I$3),1,0)+IF(AND(COUNTIF($L28,"éliminée*"),I30&gt;I$4),1,0)+IF(AND(COUNTIF($L29,"éliminée*"),I30&gt;I$5),1,0)+IF(AND(COUNTIF($L31,"éliminée*"),I30&gt;I$7),1,0)))),"")</f>
        <v/>
      </c>
      <c r="J38" s="15" t="str">
        <f>IF('Vote et Résultats'!$N$12="Valide",IF(COUNTIF($L27:$L31,"gagnante*"),"",IF(COUNTIF($L30,"éliminée*"),"",J30-(IF(AND(COUNTIF($L27,"éliminée*"),J30&gt;J$3),1,0)+IF(AND(COUNTIF($L28,"éliminée*"),J30&gt;J$4),1,0)+IF(AND(COUNTIF($L29,"éliminée*"),J30&gt;J$5),1,0)+IF(AND(COUNTIF($L31,"éliminée*"),J30&gt;J$7),1,0)))),"")</f>
        <v/>
      </c>
      <c r="K38" s="15" t="str">
        <f>IF('Vote et Résultats'!$N$13="Valide",IF(COUNTIF($L27:$L31,"gagnante*"),"",IF(COUNTIF($L30,"éliminée*"),"",K30-(IF(AND(COUNTIF($L27,"éliminée*"),K30&gt;K$3),1,0)+IF(AND(COUNTIF($L28,"éliminée*"),K30&gt;K$4),1,0)+IF(AND(COUNTIF($L29,"éliminée*"),K30&gt;K$5),1,0)+IF(AND(COUNTIF($L31,"éliminée*"),K30&gt;K$7),1,0)))),"")</f>
        <v/>
      </c>
      <c r="L38" t="str">
        <f>IF(L30&lt;&gt;"",L30,IF(N38&gt;=6,"gagnante tour "&amp;M38,IF(OR(COUNTIF(N35:N39,"&gt;=6"),O38=MAX(O35:O39)),"éliminée tour "&amp;M38,"")))</f>
        <v>éliminée tour 1</v>
      </c>
      <c r="M38">
        <v>5</v>
      </c>
      <c r="N38" t="str">
        <f t="shared" si="4"/>
        <v/>
      </c>
      <c r="O38" t="str">
        <f>IF(L30&lt;&gt;"","",COUNTIF(B38,B40)+COUNTIF(C38,C40)+COUNTIF(D38,D40)+COUNTIF(E38,E40)+COUNTIF(F38,F40)+COUNTIF(G38,G40)+COUNTIF(H38,H40)+COUNTIF(I38,I40)+COUNTIF(J38,J40)+COUNTIF(K38,K40))</f>
        <v/>
      </c>
      <c r="P38" t="str">
        <f>IF(N38="",P30,RANK(N38,N35:N39))</f>
        <v/>
      </c>
      <c r="Q38">
        <f>IF(Q30&lt;&gt;"",Q30,IF(COUNTIF($L35:$L39,"gagnante*"),IF(P38&lt;&gt;"",P38,MAX(P35:P39)+RIGHT(L38,1)),""))</f>
        <v>3</v>
      </c>
    </row>
    <row r="39" spans="1:17" x14ac:dyDescent="0.25">
      <c r="A39" t="s">
        <v>3</v>
      </c>
      <c r="B39" s="15" t="str">
        <f>IF('Vote et Résultats'!$N$4="Valide",IF(COUNTIF($L27:$L31,"gagnante*"),"",IF(COUNTIF($L31,"éliminée*"),"",B31-(IF(AND(COUNTIF($L27,"éliminée*"),B31&gt;B$3),1,0)+IF(AND(COUNTIF($L28,"éliminée*"),B31&gt;B$4),1,0)+IF(AND(COUNTIF($L29,"éliminée*"),B31&gt;B$5),1,0)+IF(AND(COUNTIF($L30,"éliminée*"),B31&gt;B$6),1,0)))),"")</f>
        <v/>
      </c>
      <c r="C39" s="15" t="str">
        <f>IF('Vote et Résultats'!$N$5="Valide",IF(COUNTIF($L27:$L31,"gagnante*"),"",IF(COUNTIF($L31,"éliminée*"),"",C31-(IF(AND(COUNTIF($L27,"éliminée*"),C31&gt;C$3),1,0)+IF(AND(COUNTIF($L28,"éliminée*"),C31&gt;C$4),1,0)+IF(AND(COUNTIF($L29,"éliminée*"),C31&gt;C$5),1,0)+IF(AND(COUNTIF($L30,"éliminée*"),C31&gt;C$6),1,0)))),"")</f>
        <v/>
      </c>
      <c r="D39" s="15" t="str">
        <f>IF('Vote et Résultats'!$N$6="Valide",IF(COUNTIF($L27:$L31,"gagnante*"),"",IF(COUNTIF($L31,"éliminée*"),"",D31-(IF(AND(COUNTIF($L27,"éliminée*"),D31&gt;D$3),1,0)+IF(AND(COUNTIF($L28,"éliminée*"),D31&gt;D$4),1,0)+IF(AND(COUNTIF($L29,"éliminée*"),D31&gt;D$5),1,0)+IF(AND(COUNTIF($L30,"éliminée*"),D31&gt;D$6),1,0)))),"")</f>
        <v/>
      </c>
      <c r="E39" s="15" t="str">
        <f>IF('Vote et Résultats'!$N$7="Valide",IF(COUNTIF($L27:$L31,"gagnante*"),"",IF(COUNTIF($L31,"éliminée*"),"",E31-(IF(AND(COUNTIF($L27,"éliminée*"),E31&gt;E$3),1,0)+IF(AND(COUNTIF($L28,"éliminée*"),E31&gt;E$4),1,0)+IF(AND(COUNTIF($L29,"éliminée*"),E31&gt;E$5),1,0)+IF(AND(COUNTIF($L30,"éliminée*"),E31&gt;E$6),1,0)))),"")</f>
        <v/>
      </c>
      <c r="F39" s="15" t="str">
        <f>IF('Vote et Résultats'!$N$8="Valide",IF(COUNTIF($L27:$L31,"gagnante*"),"",IF(COUNTIF($L31,"éliminée*"),"",F31-(IF(AND(COUNTIF($L27,"éliminée*"),F31&gt;F$3),1,0)+IF(AND(COUNTIF($L28,"éliminée*"),F31&gt;F$4),1,0)+IF(AND(COUNTIF($L29,"éliminée*"),F31&gt;F$5),1,0)+IF(AND(COUNTIF($L30,"éliminée*"),F31&gt;F$6),1,0)))),"")</f>
        <v/>
      </c>
      <c r="G39" s="15" t="str">
        <f>IF('Vote et Résultats'!$N$9="Valide",IF(COUNTIF($L27:$L31,"gagnante*"),"",IF(COUNTIF($L31,"éliminée*"),"",G31-(IF(AND(COUNTIF($L27,"éliminée*"),G31&gt;G$3),1,0)+IF(AND(COUNTIF($L28,"éliminée*"),G31&gt;G$4),1,0)+IF(AND(COUNTIF($L29,"éliminée*"),G31&gt;G$5),1,0)+IF(AND(COUNTIF($L30,"éliminée*"),G31&gt;G$6),1,0)))),"")</f>
        <v/>
      </c>
      <c r="H39" s="15" t="str">
        <f>IF('Vote et Résultats'!$N$10="Valide",IF(COUNTIF($L27:$L31,"gagnante*"),"",IF(COUNTIF($L31,"éliminée*"),"",H31-(IF(AND(COUNTIF($L27,"éliminée*"),H31&gt;H$3),1,0)+IF(AND(COUNTIF($L28,"éliminée*"),H31&gt;H$4),1,0)+IF(AND(COUNTIF($L29,"éliminée*"),H31&gt;H$5),1,0)+IF(AND(COUNTIF($L30,"éliminée*"),H31&gt;H$6),1,0)))),"")</f>
        <v/>
      </c>
      <c r="I39" s="15" t="str">
        <f>IF('Vote et Résultats'!$N$11="Valide",IF(COUNTIF($L27:$L31,"gagnante*"),"",IF(COUNTIF($L31,"éliminée*"),"",I31-(IF(AND(COUNTIF($L27,"éliminée*"),I31&gt;I$3),1,0)+IF(AND(COUNTIF($L28,"éliminée*"),I31&gt;I$4),1,0)+IF(AND(COUNTIF($L29,"éliminée*"),I31&gt;I$5),1,0)+IF(AND(COUNTIF($L30,"éliminée*"),I31&gt;I$6),1,0)))),"")</f>
        <v/>
      </c>
      <c r="J39" s="15" t="str">
        <f>IF('Vote et Résultats'!$N$12="Valide",IF(COUNTIF($L27:$L31,"gagnante*"),"",IF(COUNTIF($L31,"éliminée*"),"",J31-(IF(AND(COUNTIF($L27,"éliminée*"),J31&gt;J$3),1,0)+IF(AND(COUNTIF($L28,"éliminée*"),J31&gt;J$4),1,0)+IF(AND(COUNTIF($L29,"éliminée*"),J31&gt;J$5),1,0)+IF(AND(COUNTIF($L30,"éliminée*"),J31&gt;J$6),1,0)))),"")</f>
        <v/>
      </c>
      <c r="K39" s="15" t="str">
        <f>IF('Vote et Résultats'!$N$13="Valide",IF(COUNTIF($L27:$L31,"gagnante*"),"",IF(COUNTIF($L31,"éliminée*"),"",K31-(IF(AND(COUNTIF($L27,"éliminée*"),K31&gt;K$3),1,0)+IF(AND(COUNTIF($L28,"éliminée*"),K31&gt;K$4),1,0)+IF(AND(COUNTIF($L29,"éliminée*"),K31&gt;K$5),1,0)+IF(AND(COUNTIF($L30,"éliminée*"),K31&gt;K$6),1,0)))),"")</f>
        <v/>
      </c>
      <c r="L39" t="str">
        <f>IF(L31&lt;&gt;"",L31,IF(N39&gt;=6,"gagnante tour "&amp;M39,IF(OR(COUNTIF(N35:N39,"&gt;=6"),O39=MAX(O35:O39)),"éliminée tour "&amp;M39,"")))</f>
        <v>éliminée tour 1</v>
      </c>
      <c r="M39">
        <v>5</v>
      </c>
      <c r="N39" t="str">
        <f t="shared" si="4"/>
        <v/>
      </c>
      <c r="O39" t="str">
        <f>IF(L31&lt;&gt;"","",COUNTIF(B39,B40)+COUNTIF(C39,C40)+COUNTIF(D39,D40)+COUNTIF(E39,E40)+COUNTIF(F39,F40)+COUNTIF(G39,G40)+COUNTIF(H39,H40)+COUNTIF(I39,I40)+COUNTIF(J39,J40)+COUNTIF(K39,K40))</f>
        <v/>
      </c>
      <c r="P39" t="str">
        <f>IF(N39="",P31,RANK(N39,N35:N39))</f>
        <v/>
      </c>
      <c r="Q39">
        <f>IF(Q31&lt;&gt;"",Q31,IF(COUNTIF($L35:$L39,"gagnante*"),IF(P39&lt;&gt;"",P39,MAX(P35:P39)+RIGHT(L39,1)),""))</f>
        <v>4</v>
      </c>
    </row>
    <row r="40" spans="1:17" x14ac:dyDescent="0.25">
      <c r="A40" t="s">
        <v>86</v>
      </c>
      <c r="B40" s="15" t="str">
        <f>IF('Vote et Résultats'!$N$4="Valide",IF(COUNTIF($L27:$L31,"gagnante*"),"",MAX(B35:B39)),"")</f>
        <v/>
      </c>
      <c r="C40" s="15" t="str">
        <f>IF('Vote et Résultats'!$N$5="Valide",IF(COUNTIF($L27:$L31,"gagnante*"),"",MAX(C35:C39)),"")</f>
        <v/>
      </c>
      <c r="D40" s="15" t="str">
        <f>IF('Vote et Résultats'!$N$6="Valide",IF(COUNTIF($L27:$L31,"gagnante*"),"",MAX(D35:D39)),"")</f>
        <v/>
      </c>
      <c r="E40" s="15" t="str">
        <f>IF('Vote et Résultats'!$N$7="Valide",IF(COUNTIF($L27:$L31,"gagnante*"),"",MAX(E35:E39)),"")</f>
        <v/>
      </c>
      <c r="F40" s="15" t="str">
        <f>IF('Vote et Résultats'!$N$8="Valide",IF(COUNTIF($L27:$L31,"gagnante*"),"",MAX(F35:F39)),"")</f>
        <v/>
      </c>
      <c r="G40" s="15" t="str">
        <f>IF('Vote et Résultats'!$N$9="Valide",IF(COUNTIF($L27:$L31,"gagnante*"),"",MAX(G35:G39)),"")</f>
        <v/>
      </c>
      <c r="H40" s="15" t="str">
        <f>IF('Vote et Résultats'!$N$10="Valide",IF(COUNTIF($L27:$L31,"gagnante*"),"",MAX(H35:H39)),"")</f>
        <v/>
      </c>
      <c r="I40" s="15" t="str">
        <f>IF('Vote et Résultats'!$N$11="Valide",IF(COUNTIF($L27:$L31,"gagnante*"),"",MAX(I35:I39)),"")</f>
        <v/>
      </c>
      <c r="J40" s="15" t="str">
        <f>IF('Vote et Résultats'!$N$12="Valide",IF(COUNTIF($L27:$L31,"gagnante*"),"",MAX(J35:J39)),"")</f>
        <v/>
      </c>
      <c r="K40" s="15" t="str">
        <f>IF('Vote et Résultats'!$N$13="Valide",IF(COUNTIF($L27:$L31,"gagnante*"),"",MAX(K35:K39)),"")</f>
        <v/>
      </c>
    </row>
  </sheetData>
  <mergeCells count="5">
    <mergeCell ref="A1:Q1"/>
    <mergeCell ref="A9:Q9"/>
    <mergeCell ref="A17:Q17"/>
    <mergeCell ref="A25:Q25"/>
    <mergeCell ref="A33:Q33"/>
  </mergeCells>
  <conditionalFormatting sqref="B3:K8">
    <cfRule type="containsText" dxfId="76" priority="51" operator="containsText" text="6">
      <formula>NOT(ISERROR(SEARCH("6",B3)))</formula>
    </cfRule>
    <cfRule type="containsText" dxfId="75" priority="52" operator="containsText" text="5">
      <formula>NOT(ISERROR(SEARCH("5",B3)))</formula>
    </cfRule>
    <cfRule type="containsText" dxfId="74" priority="53" operator="containsText" text="4">
      <formula>NOT(ISERROR(SEARCH("4",B3)))</formula>
    </cfRule>
    <cfRule type="containsText" dxfId="73" priority="54" operator="containsText" text="3">
      <formula>NOT(ISERROR(SEARCH("3",B3)))</formula>
    </cfRule>
    <cfRule type="beginsWith" dxfId="72" priority="55" operator="beginsWith" text="2">
      <formula>LEFT(B3,LEN("2"))="2"</formula>
    </cfRule>
    <cfRule type="containsText" dxfId="71" priority="56" operator="containsText" text="1">
      <formula>NOT(ISERROR(SEARCH("1",B3)))</formula>
    </cfRule>
  </conditionalFormatting>
  <conditionalFormatting sqref="B3:K8">
    <cfRule type="expression" dxfId="70" priority="50">
      <formula>$M$3="Invalide"</formula>
    </cfRule>
  </conditionalFormatting>
  <conditionalFormatting sqref="B11:K16">
    <cfRule type="containsText" dxfId="69" priority="44" operator="containsText" text="6">
      <formula>NOT(ISERROR(SEARCH("6",B11)))</formula>
    </cfRule>
    <cfRule type="containsText" dxfId="68" priority="45" operator="containsText" text="5">
      <formula>NOT(ISERROR(SEARCH("5",B11)))</formula>
    </cfRule>
    <cfRule type="containsText" dxfId="67" priority="46" operator="containsText" text="4">
      <formula>NOT(ISERROR(SEARCH("4",B11)))</formula>
    </cfRule>
    <cfRule type="containsText" dxfId="66" priority="47" operator="containsText" text="3">
      <formula>NOT(ISERROR(SEARCH("3",B11)))</formula>
    </cfRule>
    <cfRule type="beginsWith" dxfId="65" priority="48" operator="beginsWith" text="2">
      <formula>LEFT(B11,LEN("2"))="2"</formula>
    </cfRule>
    <cfRule type="containsText" dxfId="64" priority="49" operator="containsText" text="1">
      <formula>NOT(ISERROR(SEARCH("1",B11)))</formula>
    </cfRule>
  </conditionalFormatting>
  <conditionalFormatting sqref="B11:K16">
    <cfRule type="expression" dxfId="63" priority="43">
      <formula>$M$3="Invalide"</formula>
    </cfRule>
  </conditionalFormatting>
  <conditionalFormatting sqref="B19:K24">
    <cfRule type="containsText" dxfId="62" priority="16" operator="containsText" text="6">
      <formula>NOT(ISERROR(SEARCH("6",B19)))</formula>
    </cfRule>
    <cfRule type="containsText" dxfId="61" priority="17" operator="containsText" text="5">
      <formula>NOT(ISERROR(SEARCH("5",B19)))</formula>
    </cfRule>
    <cfRule type="containsText" dxfId="60" priority="18" operator="containsText" text="4">
      <formula>NOT(ISERROR(SEARCH("4",B19)))</formula>
    </cfRule>
    <cfRule type="containsText" dxfId="59" priority="19" operator="containsText" text="3">
      <formula>NOT(ISERROR(SEARCH("3",B19)))</formula>
    </cfRule>
    <cfRule type="beginsWith" dxfId="58" priority="20" operator="beginsWith" text="2">
      <formula>LEFT(B19,LEN("2"))="2"</formula>
    </cfRule>
    <cfRule type="containsText" dxfId="57" priority="21" operator="containsText" text="1">
      <formula>NOT(ISERROR(SEARCH("1",B19)))</formula>
    </cfRule>
  </conditionalFormatting>
  <conditionalFormatting sqref="B19:K24">
    <cfRule type="expression" dxfId="56" priority="15">
      <formula>$M$3="Invalide"</formula>
    </cfRule>
  </conditionalFormatting>
  <conditionalFormatting sqref="B27:K32">
    <cfRule type="containsText" dxfId="55" priority="9" operator="containsText" text="6">
      <formula>NOT(ISERROR(SEARCH("6",B27)))</formula>
    </cfRule>
    <cfRule type="containsText" dxfId="54" priority="10" operator="containsText" text="5">
      <formula>NOT(ISERROR(SEARCH("5",B27)))</formula>
    </cfRule>
    <cfRule type="containsText" dxfId="53" priority="11" operator="containsText" text="4">
      <formula>NOT(ISERROR(SEARCH("4",B27)))</formula>
    </cfRule>
    <cfRule type="containsText" dxfId="52" priority="12" operator="containsText" text="3">
      <formula>NOT(ISERROR(SEARCH("3",B27)))</formula>
    </cfRule>
    <cfRule type="beginsWith" dxfId="51" priority="13" operator="beginsWith" text="2">
      <formula>LEFT(B27,LEN("2"))="2"</formula>
    </cfRule>
    <cfRule type="containsText" dxfId="50" priority="14" operator="containsText" text="1">
      <formula>NOT(ISERROR(SEARCH("1",B27)))</formula>
    </cfRule>
  </conditionalFormatting>
  <conditionalFormatting sqref="B27:K32">
    <cfRule type="expression" dxfId="49" priority="8">
      <formula>$M$3="Invalide"</formula>
    </cfRule>
  </conditionalFormatting>
  <conditionalFormatting sqref="B35:K40">
    <cfRule type="containsText" dxfId="48" priority="2" operator="containsText" text="6">
      <formula>NOT(ISERROR(SEARCH("6",B35)))</formula>
    </cfRule>
    <cfRule type="containsText" dxfId="47" priority="3" operator="containsText" text="5">
      <formula>NOT(ISERROR(SEARCH("5",B35)))</formula>
    </cfRule>
    <cfRule type="containsText" dxfId="46" priority="4" operator="containsText" text="4">
      <formula>NOT(ISERROR(SEARCH("4",B35)))</formula>
    </cfRule>
    <cfRule type="containsText" dxfId="45" priority="5" operator="containsText" text="3">
      <formula>NOT(ISERROR(SEARCH("3",B35)))</formula>
    </cfRule>
    <cfRule type="beginsWith" dxfId="44" priority="6" operator="beginsWith" text="2">
      <formula>LEFT(B35,LEN("2"))="2"</formula>
    </cfRule>
    <cfRule type="containsText" dxfId="43" priority="7" operator="containsText" text="1">
      <formula>NOT(ISERROR(SEARCH("1",B35)))</formula>
    </cfRule>
  </conditionalFormatting>
  <conditionalFormatting sqref="B35:K40">
    <cfRule type="expression" dxfId="42" priority="1">
      <formula>$M$3="Invalide"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16"/>
  <sheetViews>
    <sheetView workbookViewId="0">
      <selection activeCell="C21" sqref="C21"/>
    </sheetView>
  </sheetViews>
  <sheetFormatPr defaultColWidth="11.42578125" defaultRowHeight="15" x14ac:dyDescent="0.25"/>
  <cols>
    <col min="1" max="1" width="27" customWidth="1"/>
  </cols>
  <sheetData>
    <row r="1" spans="1:11" s="17" customFormat="1" ht="27" customHeight="1" x14ac:dyDescent="0.25">
      <c r="A1" s="61" t="s">
        <v>36</v>
      </c>
      <c r="B1" s="16" t="s">
        <v>13</v>
      </c>
      <c r="C1" s="16" t="s">
        <v>14</v>
      </c>
      <c r="D1" s="16" t="s">
        <v>15</v>
      </c>
      <c r="E1" s="16" t="s">
        <v>16</v>
      </c>
      <c r="F1" s="16" t="s">
        <v>17</v>
      </c>
      <c r="G1" s="16" t="s">
        <v>18</v>
      </c>
      <c r="H1" s="16" t="s">
        <v>19</v>
      </c>
      <c r="I1" s="16" t="s">
        <v>20</v>
      </c>
      <c r="J1" s="16" t="s">
        <v>21</v>
      </c>
      <c r="K1" s="16" t="s">
        <v>22</v>
      </c>
    </row>
    <row r="2" spans="1:11" x14ac:dyDescent="0.25">
      <c r="A2" s="61" t="s">
        <v>42</v>
      </c>
      <c r="B2" s="18" t="str">
        <f>IF('Vote et Résultats'!$N4="Valide",_xlfn.IFS(VLOOKUP('Vote et Résultats'!$C4,Valeurs!$E$1:$F$6,2,FALSE)&lt;VLOOKUP('Vote et Résultats'!$E4,Valeurs!$E$1:$F$6,2,FALSE),"A",VLOOKUP('Vote et Résultats'!$C4,Valeurs!$E$1:$F$6,2,FALSE)&gt;VLOOKUP('Vote et Résultats'!$E4,Valeurs!$E$1:$F$6,2,FALSE),"B",VLOOKUP('Vote et Résultats'!$C4,Valeurs!$E$1:$F$6,2,FALSE)=VLOOKUP('Vote et Résultats'!$E4,Valeurs!$E$1:$F$6,2,FALSE),"="),"")</f>
        <v>A</v>
      </c>
      <c r="C2" s="18" t="str">
        <f>IF('Vote et Résultats'!$N4="Valide",_xlfn.IFS(VLOOKUP('Vote et Résultats'!$C4,Valeurs!$E$1:$F$6,2,FALSE)&lt;VLOOKUP('Vote et Résultats'!$G4,Valeurs!$E$1:$F$6,2,FALSE),"A",VLOOKUP('Vote et Résultats'!$C4,Valeurs!$E$1:$F$6,2,FALSE)&gt;VLOOKUP('Vote et Résultats'!$G4,Valeurs!$E$1:$F$6,2,FALSE),"C",VLOOKUP('Vote et Résultats'!$C4,Valeurs!$E$1:$F$6,2,FALSE)=VLOOKUP('Vote et Résultats'!$G4,Valeurs!$E$1:$F$6,2,FALSE),"="),"")</f>
        <v>A</v>
      </c>
      <c r="D2" s="18" t="str">
        <f>IF('Vote et Résultats'!$N4="Valide",_xlfn.IFS(VLOOKUP('Vote et Résultats'!$C4,Valeurs!$E$1:$F$6,2,FALSE)&lt;VLOOKUP('Vote et Résultats'!$I4,Valeurs!$E$1:$F$6,2,FALSE),"A",VLOOKUP('Vote et Résultats'!$C4,Valeurs!$E$1:$F$6,2,FALSE)&gt;VLOOKUP('Vote et Résultats'!$I4,Valeurs!$E$1:$F$6,2,FALSE),"D",VLOOKUP('Vote et Résultats'!$C4,Valeurs!$E$1:$F$6,2,FALSE)=VLOOKUP('Vote et Résultats'!$I4,Valeurs!$E$1:$F$6,2,FALSE),"="),"")</f>
        <v>A</v>
      </c>
      <c r="E2" s="18" t="str">
        <f>IF('Vote et Résultats'!$N4="Valide",_xlfn.IFS(VLOOKUP('Vote et Résultats'!$C4,Valeurs!$E$1:$F$6,2,FALSE)&lt;VLOOKUP('Vote et Résultats'!$K4,Valeurs!$E$1:$F$6,2,FALSE),"A",VLOOKUP('Vote et Résultats'!$C4,Valeurs!$E$1:$F$6,2,FALSE)&gt;VLOOKUP('Vote et Résultats'!$K4,Valeurs!$E$1:$F$6,2,FALSE),"E",VLOOKUP('Vote et Résultats'!$C4,Valeurs!$E$1:$F$6,2,FALSE)=VLOOKUP('Vote et Résultats'!$K4,Valeurs!$E$1:$F$6,2,FALSE),"="),"")</f>
        <v>A</v>
      </c>
      <c r="F2" s="18" t="str">
        <f>IF('Vote et Résultats'!$N4="Valide",_xlfn.IFS(VLOOKUP('Vote et Résultats'!$E4,Valeurs!$E$1:$F$6,2,FALSE)&lt;VLOOKUP('Vote et Résultats'!$G4,Valeurs!$E$1:$F$6,2,FALSE),"B",VLOOKUP('Vote et Résultats'!$E4,Valeurs!$E$1:$F$6,2,FALSE)&gt;VLOOKUP('Vote et Résultats'!$G4,Valeurs!$E$1:$F$6,2,FALSE),"C",VLOOKUP('Vote et Résultats'!$E4,Valeurs!$E$1:$F$6,2,FALSE)=VLOOKUP('Vote et Résultats'!$G4,Valeurs!$E$1:$F$6,2,FALSE),"="),"")</f>
        <v>C</v>
      </c>
      <c r="G2" s="18" t="str">
        <f>IF('Vote et Résultats'!$N4="Valide",_xlfn.IFS(VLOOKUP('Vote et Résultats'!$E4,Valeurs!$E$1:$F$6,2,FALSE)&lt;VLOOKUP('Vote et Résultats'!$I4,Valeurs!$E$1:$F$6,2,FALSE),"B",VLOOKUP('Vote et Résultats'!$E4,Valeurs!$E$1:$F$6,2,FALSE)&gt;VLOOKUP('Vote et Résultats'!$I4,Valeurs!$E$1:$F$6,2,FALSE),"D",VLOOKUP('Vote et Résultats'!$E4,Valeurs!$E$1:$F$6,2,FALSE)=VLOOKUP('Vote et Résultats'!$I4,Valeurs!$E$1:$F$6,2,FALSE),"="),"")</f>
        <v>=</v>
      </c>
      <c r="H2" s="18" t="str">
        <f>IF('Vote et Résultats'!$N4="Valide",_xlfn.IFS(VLOOKUP('Vote et Résultats'!$E4,Valeurs!$E$1:$F$6,2,FALSE)&lt;VLOOKUP('Vote et Résultats'!$K4,Valeurs!$E$1:$F$6,2,FALSE),"B",VLOOKUP('Vote et Résultats'!$E4,Valeurs!$E$1:$F$6,2,FALSE)&gt;VLOOKUP('Vote et Résultats'!$K4,Valeurs!$E$1:$F$6,2,FALSE),"E",VLOOKUP('Vote et Résultats'!$E4,Valeurs!$E$1:$F$6,2,FALSE)=VLOOKUP('Vote et Résultats'!$K4,Valeurs!$E$1:$F$6,2,FALSE),"="),"")</f>
        <v>=</v>
      </c>
      <c r="I2" s="18" t="str">
        <f>IF('Vote et Résultats'!$N4="Valide",_xlfn.IFS(VLOOKUP('Vote et Résultats'!$G4,Valeurs!$E$1:$F$6,2,FALSE)&lt;VLOOKUP('Vote et Résultats'!$I4,Valeurs!$E$1:$F$6,2,FALSE),"C",VLOOKUP('Vote et Résultats'!$G4,Valeurs!$E$1:$F$6,2,FALSE)&gt;VLOOKUP('Vote et Résultats'!$I4,Valeurs!$E$1:$F$6,2,FALSE),"D",VLOOKUP('Vote et Résultats'!$G4,Valeurs!$E$1:$F$6,2,FALSE)=VLOOKUP('Vote et Résultats'!$I4,Valeurs!$E$1:$F$6,2,FALSE),"="),"")</f>
        <v>C</v>
      </c>
      <c r="J2" s="18" t="str">
        <f>IF('Vote et Résultats'!$N4="Valide",_xlfn.IFS(VLOOKUP('Vote et Résultats'!$G4,Valeurs!$E$1:$F$6,2,FALSE)&lt;VLOOKUP('Vote et Résultats'!$K4,Valeurs!$E$1:$F$6,2,FALSE),"C",VLOOKUP('Vote et Résultats'!$G4,Valeurs!$E$1:$F$6,2,FALSE)&gt;VLOOKUP('Vote et Résultats'!$K4,Valeurs!$E$1:$F$6,2,FALSE),"E",VLOOKUP('Vote et Résultats'!$G4,Valeurs!$E$1:$F$6,2,FALSE)=VLOOKUP('Vote et Résultats'!$K4,Valeurs!$E$1:$F$6,2,FALSE),"="),"")</f>
        <v>C</v>
      </c>
      <c r="K2" s="18" t="str">
        <f>IF('Vote et Résultats'!$N4="Valide",_xlfn.IFS(VLOOKUP('Vote et Résultats'!$I4,Valeurs!$E$1:$F$6,2,FALSE)&lt;VLOOKUP('Vote et Résultats'!$K4,Valeurs!$E$1:$F$6,2,FALSE),"D",VLOOKUP('Vote et Résultats'!$I4,Valeurs!$E$1:$F$6,2,FALSE)&gt;VLOOKUP('Vote et Résultats'!$K4,Valeurs!$E$1:$F$6,2,FALSE),"E",VLOOKUP('Vote et Résultats'!$I4,Valeurs!$E$1:$F$6,2,FALSE)=VLOOKUP('Vote et Résultats'!$K4,Valeurs!$E$1:$F$6,2,FALSE),"="),"")</f>
        <v>=</v>
      </c>
    </row>
    <row r="3" spans="1:11" x14ac:dyDescent="0.25">
      <c r="A3" s="61" t="s">
        <v>43</v>
      </c>
      <c r="B3" s="18" t="str">
        <f>IF('Vote et Résultats'!$N5="Valide",_xlfn.IFS(VLOOKUP('Vote et Résultats'!$C5,Valeurs!$E$1:$F$6,2,FALSE)&lt;VLOOKUP('Vote et Résultats'!$E5,Valeurs!$E$1:$F$6,2,FALSE),"A",VLOOKUP('Vote et Résultats'!$C5,Valeurs!$E$1:$F$6,2,FALSE)&gt;VLOOKUP('Vote et Résultats'!$E5,Valeurs!$E$1:$F$6,2,FALSE),"B",VLOOKUP('Vote et Résultats'!$C5,Valeurs!$E$1:$F$6,2,FALSE)=VLOOKUP('Vote et Résultats'!$E5,Valeurs!$E$1:$F$6,2,FALSE),"="),"")</f>
        <v>A</v>
      </c>
      <c r="C3" s="18" t="str">
        <f>IF('Vote et Résultats'!$N5="Valide",_xlfn.IFS(VLOOKUP('Vote et Résultats'!$C5,Valeurs!$E$1:$F$6,2,FALSE)&lt;VLOOKUP('Vote et Résultats'!$G5,Valeurs!$E$1:$F$6,2,FALSE),"A",VLOOKUP('Vote et Résultats'!$C5,Valeurs!$E$1:$F$6,2,FALSE)&gt;VLOOKUP('Vote et Résultats'!$G5,Valeurs!$E$1:$F$6,2,FALSE),"C",VLOOKUP('Vote et Résultats'!$C5,Valeurs!$E$1:$F$6,2,FALSE)=VLOOKUP('Vote et Résultats'!$G5,Valeurs!$E$1:$F$6,2,FALSE),"="),"")</f>
        <v>A</v>
      </c>
      <c r="D3" s="18" t="str">
        <f>IF('Vote et Résultats'!$N5="Valide",_xlfn.IFS(VLOOKUP('Vote et Résultats'!$C5,Valeurs!$E$1:$F$6,2,FALSE)&lt;VLOOKUP('Vote et Résultats'!$I5,Valeurs!$E$1:$F$6,2,FALSE),"A",VLOOKUP('Vote et Résultats'!$C5,Valeurs!$E$1:$F$6,2,FALSE)&gt;VLOOKUP('Vote et Résultats'!$I5,Valeurs!$E$1:$F$6,2,FALSE),"D",VLOOKUP('Vote et Résultats'!$C5,Valeurs!$E$1:$F$6,2,FALSE)=VLOOKUP('Vote et Résultats'!$I5,Valeurs!$E$1:$F$6,2,FALSE),"="),"")</f>
        <v>A</v>
      </c>
      <c r="E3" s="18" t="str">
        <f>IF('Vote et Résultats'!$N5="Valide",_xlfn.IFS(VLOOKUP('Vote et Résultats'!$C5,Valeurs!$E$1:$F$6,2,FALSE)&lt;VLOOKUP('Vote et Résultats'!$K5,Valeurs!$E$1:$F$6,2,FALSE),"A",VLOOKUP('Vote et Résultats'!$C5,Valeurs!$E$1:$F$6,2,FALSE)&gt;VLOOKUP('Vote et Résultats'!$K5,Valeurs!$E$1:$F$6,2,FALSE),"E",VLOOKUP('Vote et Résultats'!$C5,Valeurs!$E$1:$F$6,2,FALSE)=VLOOKUP('Vote et Résultats'!$K5,Valeurs!$E$1:$F$6,2,FALSE),"="),"")</f>
        <v>A</v>
      </c>
      <c r="F3" s="18" t="str">
        <f>IF('Vote et Résultats'!$N5="Valide",_xlfn.IFS(VLOOKUP('Vote et Résultats'!$E5,Valeurs!$E$1:$F$6,2,FALSE)&lt;VLOOKUP('Vote et Résultats'!$G5,Valeurs!$E$1:$F$6,2,FALSE),"B",VLOOKUP('Vote et Résultats'!$E5,Valeurs!$E$1:$F$6,2,FALSE)&gt;VLOOKUP('Vote et Résultats'!$G5,Valeurs!$E$1:$F$6,2,FALSE),"C",VLOOKUP('Vote et Résultats'!$E5,Valeurs!$E$1:$F$6,2,FALSE)=VLOOKUP('Vote et Résultats'!$G5,Valeurs!$E$1:$F$6,2,FALSE),"="),"")</f>
        <v>C</v>
      </c>
      <c r="G3" s="18" t="str">
        <f>IF('Vote et Résultats'!$N5="Valide",_xlfn.IFS(VLOOKUP('Vote et Résultats'!$E5,Valeurs!$E$1:$F$6,2,FALSE)&lt;VLOOKUP('Vote et Résultats'!$I5,Valeurs!$E$1:$F$6,2,FALSE),"B",VLOOKUP('Vote et Résultats'!$E5,Valeurs!$E$1:$F$6,2,FALSE)&gt;VLOOKUP('Vote et Résultats'!$I5,Valeurs!$E$1:$F$6,2,FALSE),"D",VLOOKUP('Vote et Résultats'!$E5,Valeurs!$E$1:$F$6,2,FALSE)=VLOOKUP('Vote et Résultats'!$I5,Valeurs!$E$1:$F$6,2,FALSE),"="),"")</f>
        <v>B</v>
      </c>
      <c r="H3" s="18" t="str">
        <f>IF('Vote et Résultats'!$N5="Valide",_xlfn.IFS(VLOOKUP('Vote et Résultats'!$E5,Valeurs!$E$1:$F$6,2,FALSE)&lt;VLOOKUP('Vote et Résultats'!$K5,Valeurs!$E$1:$F$6,2,FALSE),"B",VLOOKUP('Vote et Résultats'!$E5,Valeurs!$E$1:$F$6,2,FALSE)&gt;VLOOKUP('Vote et Résultats'!$K5,Valeurs!$E$1:$F$6,2,FALSE),"E",VLOOKUP('Vote et Résultats'!$E5,Valeurs!$E$1:$F$6,2,FALSE)=VLOOKUP('Vote et Résultats'!$K5,Valeurs!$E$1:$F$6,2,FALSE),"="),"")</f>
        <v>B</v>
      </c>
      <c r="I3" s="18" t="str">
        <f>IF('Vote et Résultats'!$N5="Valide",_xlfn.IFS(VLOOKUP('Vote et Résultats'!$G5,Valeurs!$E$1:$F$6,2,FALSE)&lt;VLOOKUP('Vote et Résultats'!$I5,Valeurs!$E$1:$F$6,2,FALSE),"C",VLOOKUP('Vote et Résultats'!$G5,Valeurs!$E$1:$F$6,2,FALSE)&gt;VLOOKUP('Vote et Résultats'!$I5,Valeurs!$E$1:$F$6,2,FALSE),"D",VLOOKUP('Vote et Résultats'!$G5,Valeurs!$E$1:$F$6,2,FALSE)=VLOOKUP('Vote et Résultats'!$I5,Valeurs!$E$1:$F$6,2,FALSE),"="),"")</f>
        <v>C</v>
      </c>
      <c r="J3" s="18" t="str">
        <f>IF('Vote et Résultats'!$N5="Valide",_xlfn.IFS(VLOOKUP('Vote et Résultats'!$G5,Valeurs!$E$1:$F$6,2,FALSE)&lt;VLOOKUP('Vote et Résultats'!$K5,Valeurs!$E$1:$F$6,2,FALSE),"C",VLOOKUP('Vote et Résultats'!$G5,Valeurs!$E$1:$F$6,2,FALSE)&gt;VLOOKUP('Vote et Résultats'!$K5,Valeurs!$E$1:$F$6,2,FALSE),"E",VLOOKUP('Vote et Résultats'!$G5,Valeurs!$E$1:$F$6,2,FALSE)=VLOOKUP('Vote et Résultats'!$K5,Valeurs!$E$1:$F$6,2,FALSE),"="),"")</f>
        <v>C</v>
      </c>
      <c r="K3" s="18" t="str">
        <f>IF('Vote et Résultats'!$N5="Valide",_xlfn.IFS(VLOOKUP('Vote et Résultats'!$I5,Valeurs!$E$1:$F$6,2,FALSE)&lt;VLOOKUP('Vote et Résultats'!$K5,Valeurs!$E$1:$F$6,2,FALSE),"D",VLOOKUP('Vote et Résultats'!$I5,Valeurs!$E$1:$F$6,2,FALSE)&gt;VLOOKUP('Vote et Résultats'!$K5,Valeurs!$E$1:$F$6,2,FALSE),"E",VLOOKUP('Vote et Résultats'!$I5,Valeurs!$E$1:$F$6,2,FALSE)=VLOOKUP('Vote et Résultats'!$K5,Valeurs!$E$1:$F$6,2,FALSE),"="),"")</f>
        <v>=</v>
      </c>
    </row>
    <row r="4" spans="1:11" x14ac:dyDescent="0.25">
      <c r="A4" s="61" t="s">
        <v>44</v>
      </c>
      <c r="B4" s="18" t="str">
        <f>IF('Vote et Résultats'!$N6="Valide",_xlfn.IFS(VLOOKUP('Vote et Résultats'!$C6,Valeurs!$E$1:$F$6,2,FALSE)&lt;VLOOKUP('Vote et Résultats'!$E6,Valeurs!$E$1:$F$6,2,FALSE),"A",VLOOKUP('Vote et Résultats'!$C6,Valeurs!$E$1:$F$6,2,FALSE)&gt;VLOOKUP('Vote et Résultats'!$E6,Valeurs!$E$1:$F$6,2,FALSE),"B",VLOOKUP('Vote et Résultats'!$C6,Valeurs!$E$1:$F$6,2,FALSE)=VLOOKUP('Vote et Résultats'!$E6,Valeurs!$E$1:$F$6,2,FALSE),"="),"")</f>
        <v>A</v>
      </c>
      <c r="C4" s="18" t="str">
        <f>IF('Vote et Résultats'!$N6="Valide",_xlfn.IFS(VLOOKUP('Vote et Résultats'!$C6,Valeurs!$E$1:$F$6,2,FALSE)&lt;VLOOKUP('Vote et Résultats'!$G6,Valeurs!$E$1:$F$6,2,FALSE),"A",VLOOKUP('Vote et Résultats'!$C6,Valeurs!$E$1:$F$6,2,FALSE)&gt;VLOOKUP('Vote et Résultats'!$G6,Valeurs!$E$1:$F$6,2,FALSE),"C",VLOOKUP('Vote et Résultats'!$C6,Valeurs!$E$1:$F$6,2,FALSE)=VLOOKUP('Vote et Résultats'!$G6,Valeurs!$E$1:$F$6,2,FALSE),"="),"")</f>
        <v>A</v>
      </c>
      <c r="D4" s="18" t="str">
        <f>IF('Vote et Résultats'!$N6="Valide",_xlfn.IFS(VLOOKUP('Vote et Résultats'!$C6,Valeurs!$E$1:$F$6,2,FALSE)&lt;VLOOKUP('Vote et Résultats'!$I6,Valeurs!$E$1:$F$6,2,FALSE),"A",VLOOKUP('Vote et Résultats'!$C6,Valeurs!$E$1:$F$6,2,FALSE)&gt;VLOOKUP('Vote et Résultats'!$I6,Valeurs!$E$1:$F$6,2,FALSE),"D",VLOOKUP('Vote et Résultats'!$C6,Valeurs!$E$1:$F$6,2,FALSE)=VLOOKUP('Vote et Résultats'!$I6,Valeurs!$E$1:$F$6,2,FALSE),"="),"")</f>
        <v>A</v>
      </c>
      <c r="E4" s="18" t="str">
        <f>IF('Vote et Résultats'!$N6="Valide",_xlfn.IFS(VLOOKUP('Vote et Résultats'!$C6,Valeurs!$E$1:$F$6,2,FALSE)&lt;VLOOKUP('Vote et Résultats'!$K6,Valeurs!$E$1:$F$6,2,FALSE),"A",VLOOKUP('Vote et Résultats'!$C6,Valeurs!$E$1:$F$6,2,FALSE)&gt;VLOOKUP('Vote et Résultats'!$K6,Valeurs!$E$1:$F$6,2,FALSE),"E",VLOOKUP('Vote et Résultats'!$C6,Valeurs!$E$1:$F$6,2,FALSE)=VLOOKUP('Vote et Résultats'!$K6,Valeurs!$E$1:$F$6,2,FALSE),"="),"")</f>
        <v>A</v>
      </c>
      <c r="F4" s="18" t="str">
        <f>IF('Vote et Résultats'!$N6="Valide",_xlfn.IFS(VLOOKUP('Vote et Résultats'!$E6,Valeurs!$E$1:$F$6,2,FALSE)&lt;VLOOKUP('Vote et Résultats'!$G6,Valeurs!$E$1:$F$6,2,FALSE),"B",VLOOKUP('Vote et Résultats'!$E6,Valeurs!$E$1:$F$6,2,FALSE)&gt;VLOOKUP('Vote et Résultats'!$G6,Valeurs!$E$1:$F$6,2,FALSE),"C",VLOOKUP('Vote et Résultats'!$E6,Valeurs!$E$1:$F$6,2,FALSE)=VLOOKUP('Vote et Résultats'!$G6,Valeurs!$E$1:$F$6,2,FALSE),"="),"")</f>
        <v>B</v>
      </c>
      <c r="G4" s="18" t="str">
        <f>IF('Vote et Résultats'!$N6="Valide",_xlfn.IFS(VLOOKUP('Vote et Résultats'!$E6,Valeurs!$E$1:$F$6,2,FALSE)&lt;VLOOKUP('Vote et Résultats'!$I6,Valeurs!$E$1:$F$6,2,FALSE),"B",VLOOKUP('Vote et Résultats'!$E6,Valeurs!$E$1:$F$6,2,FALSE)&gt;VLOOKUP('Vote et Résultats'!$I6,Valeurs!$E$1:$F$6,2,FALSE),"D",VLOOKUP('Vote et Résultats'!$E6,Valeurs!$E$1:$F$6,2,FALSE)=VLOOKUP('Vote et Résultats'!$I6,Valeurs!$E$1:$F$6,2,FALSE),"="),"")</f>
        <v>B</v>
      </c>
      <c r="H4" s="18" t="str">
        <f>IF('Vote et Résultats'!$N6="Valide",_xlfn.IFS(VLOOKUP('Vote et Résultats'!$E6,Valeurs!$E$1:$F$6,2,FALSE)&lt;VLOOKUP('Vote et Résultats'!$K6,Valeurs!$E$1:$F$6,2,FALSE),"B",VLOOKUP('Vote et Résultats'!$E6,Valeurs!$E$1:$F$6,2,FALSE)&gt;VLOOKUP('Vote et Résultats'!$K6,Valeurs!$E$1:$F$6,2,FALSE),"E",VLOOKUP('Vote et Résultats'!$E6,Valeurs!$E$1:$F$6,2,FALSE)=VLOOKUP('Vote et Résultats'!$K6,Valeurs!$E$1:$F$6,2,FALSE),"="),"")</f>
        <v>B</v>
      </c>
      <c r="I4" s="18" t="str">
        <f>IF('Vote et Résultats'!$N6="Valide",_xlfn.IFS(VLOOKUP('Vote et Résultats'!$G6,Valeurs!$E$1:$F$6,2,FALSE)&lt;VLOOKUP('Vote et Résultats'!$I6,Valeurs!$E$1:$F$6,2,FALSE),"C",VLOOKUP('Vote et Résultats'!$G6,Valeurs!$E$1:$F$6,2,FALSE)&gt;VLOOKUP('Vote et Résultats'!$I6,Valeurs!$E$1:$F$6,2,FALSE),"D",VLOOKUP('Vote et Résultats'!$G6,Valeurs!$E$1:$F$6,2,FALSE)=VLOOKUP('Vote et Résultats'!$I6,Valeurs!$E$1:$F$6,2,FALSE),"="),"")</f>
        <v>C</v>
      </c>
      <c r="J4" s="18" t="str">
        <f>IF('Vote et Résultats'!$N6="Valide",_xlfn.IFS(VLOOKUP('Vote et Résultats'!$G6,Valeurs!$E$1:$F$6,2,FALSE)&lt;VLOOKUP('Vote et Résultats'!$K6,Valeurs!$E$1:$F$6,2,FALSE),"C",VLOOKUP('Vote et Résultats'!$G6,Valeurs!$E$1:$F$6,2,FALSE)&gt;VLOOKUP('Vote et Résultats'!$K6,Valeurs!$E$1:$F$6,2,FALSE),"E",VLOOKUP('Vote et Résultats'!$G6,Valeurs!$E$1:$F$6,2,FALSE)=VLOOKUP('Vote et Résultats'!$K6,Valeurs!$E$1:$F$6,2,FALSE),"="),"")</f>
        <v>C</v>
      </c>
      <c r="K4" s="18" t="str">
        <f>IF('Vote et Résultats'!$N6="Valide",_xlfn.IFS(VLOOKUP('Vote et Résultats'!$I6,Valeurs!$E$1:$F$6,2,FALSE)&lt;VLOOKUP('Vote et Résultats'!$K6,Valeurs!$E$1:$F$6,2,FALSE),"D",VLOOKUP('Vote et Résultats'!$I6,Valeurs!$E$1:$F$6,2,FALSE)&gt;VLOOKUP('Vote et Résultats'!$K6,Valeurs!$E$1:$F$6,2,FALSE),"E",VLOOKUP('Vote et Résultats'!$I6,Valeurs!$E$1:$F$6,2,FALSE)=VLOOKUP('Vote et Résultats'!$K6,Valeurs!$E$1:$F$6,2,FALSE),"="),"")</f>
        <v>D</v>
      </c>
    </row>
    <row r="5" spans="1:11" x14ac:dyDescent="0.25">
      <c r="A5" s="61" t="s">
        <v>45</v>
      </c>
      <c r="B5" s="18" t="str">
        <f>IF('Vote et Résultats'!$N7="Valide",_xlfn.IFS(VLOOKUP('Vote et Résultats'!$C7,Valeurs!$E$1:$F$6,2,FALSE)&lt;VLOOKUP('Vote et Résultats'!$E7,Valeurs!$E$1:$F$6,2,FALSE),"A",VLOOKUP('Vote et Résultats'!$C7,Valeurs!$E$1:$F$6,2,FALSE)&gt;VLOOKUP('Vote et Résultats'!$E7,Valeurs!$E$1:$F$6,2,FALSE),"B",VLOOKUP('Vote et Résultats'!$C7,Valeurs!$E$1:$F$6,2,FALSE)=VLOOKUP('Vote et Résultats'!$E7,Valeurs!$E$1:$F$6,2,FALSE),"="),"")</f>
        <v>A</v>
      </c>
      <c r="C5" s="18" t="str">
        <f>IF('Vote et Résultats'!$N7="Valide",_xlfn.IFS(VLOOKUP('Vote et Résultats'!$C7,Valeurs!$E$1:$F$6,2,FALSE)&lt;VLOOKUP('Vote et Résultats'!$G7,Valeurs!$E$1:$F$6,2,FALSE),"A",VLOOKUP('Vote et Résultats'!$C7,Valeurs!$E$1:$F$6,2,FALSE)&gt;VLOOKUP('Vote et Résultats'!$G7,Valeurs!$E$1:$F$6,2,FALSE),"C",VLOOKUP('Vote et Résultats'!$C7,Valeurs!$E$1:$F$6,2,FALSE)=VLOOKUP('Vote et Résultats'!$G7,Valeurs!$E$1:$F$6,2,FALSE),"="),"")</f>
        <v>A</v>
      </c>
      <c r="D5" s="18" t="str">
        <f>IF('Vote et Résultats'!$N7="Valide",_xlfn.IFS(VLOOKUP('Vote et Résultats'!$C7,Valeurs!$E$1:$F$6,2,FALSE)&lt;VLOOKUP('Vote et Résultats'!$I7,Valeurs!$E$1:$F$6,2,FALSE),"A",VLOOKUP('Vote et Résultats'!$C7,Valeurs!$E$1:$F$6,2,FALSE)&gt;VLOOKUP('Vote et Résultats'!$I7,Valeurs!$E$1:$F$6,2,FALSE),"D",VLOOKUP('Vote et Résultats'!$C7,Valeurs!$E$1:$F$6,2,FALSE)=VLOOKUP('Vote et Résultats'!$I7,Valeurs!$E$1:$F$6,2,FALSE),"="),"")</f>
        <v>A</v>
      </c>
      <c r="E5" s="18" t="str">
        <f>IF('Vote et Résultats'!$N7="Valide",_xlfn.IFS(VLOOKUP('Vote et Résultats'!$C7,Valeurs!$E$1:$F$6,2,FALSE)&lt;VLOOKUP('Vote et Résultats'!$K7,Valeurs!$E$1:$F$6,2,FALSE),"A",VLOOKUP('Vote et Résultats'!$C7,Valeurs!$E$1:$F$6,2,FALSE)&gt;VLOOKUP('Vote et Résultats'!$K7,Valeurs!$E$1:$F$6,2,FALSE),"E",VLOOKUP('Vote et Résultats'!$C7,Valeurs!$E$1:$F$6,2,FALSE)=VLOOKUP('Vote et Résultats'!$K7,Valeurs!$E$1:$F$6,2,FALSE),"="),"")</f>
        <v>A</v>
      </c>
      <c r="F5" s="18" t="str">
        <f>IF('Vote et Résultats'!$N7="Valide",_xlfn.IFS(VLOOKUP('Vote et Résultats'!$E7,Valeurs!$E$1:$F$6,2,FALSE)&lt;VLOOKUP('Vote et Résultats'!$G7,Valeurs!$E$1:$F$6,2,FALSE),"B",VLOOKUP('Vote et Résultats'!$E7,Valeurs!$E$1:$F$6,2,FALSE)&gt;VLOOKUP('Vote et Résultats'!$G7,Valeurs!$E$1:$F$6,2,FALSE),"C",VLOOKUP('Vote et Résultats'!$E7,Valeurs!$E$1:$F$6,2,FALSE)=VLOOKUP('Vote et Résultats'!$G7,Valeurs!$E$1:$F$6,2,FALSE),"="),"")</f>
        <v>B</v>
      </c>
      <c r="G5" s="18" t="str">
        <f>IF('Vote et Résultats'!$N7="Valide",_xlfn.IFS(VLOOKUP('Vote et Résultats'!$E7,Valeurs!$E$1:$F$6,2,FALSE)&lt;VLOOKUP('Vote et Résultats'!$I7,Valeurs!$E$1:$F$6,2,FALSE),"B",VLOOKUP('Vote et Résultats'!$E7,Valeurs!$E$1:$F$6,2,FALSE)&gt;VLOOKUP('Vote et Résultats'!$I7,Valeurs!$E$1:$F$6,2,FALSE),"D",VLOOKUP('Vote et Résultats'!$E7,Valeurs!$E$1:$F$6,2,FALSE)=VLOOKUP('Vote et Résultats'!$I7,Valeurs!$E$1:$F$6,2,FALSE),"="),"")</f>
        <v>B</v>
      </c>
      <c r="H5" s="18" t="str">
        <f>IF('Vote et Résultats'!$N7="Valide",_xlfn.IFS(VLOOKUP('Vote et Résultats'!$E7,Valeurs!$E$1:$F$6,2,FALSE)&lt;VLOOKUP('Vote et Résultats'!$K7,Valeurs!$E$1:$F$6,2,FALSE),"B",VLOOKUP('Vote et Résultats'!$E7,Valeurs!$E$1:$F$6,2,FALSE)&gt;VLOOKUP('Vote et Résultats'!$K7,Valeurs!$E$1:$F$6,2,FALSE),"E",VLOOKUP('Vote et Résultats'!$E7,Valeurs!$E$1:$F$6,2,FALSE)=VLOOKUP('Vote et Résultats'!$K7,Valeurs!$E$1:$F$6,2,FALSE),"="),"")</f>
        <v>B</v>
      </c>
      <c r="I5" s="18" t="str">
        <f>IF('Vote et Résultats'!$N7="Valide",_xlfn.IFS(VLOOKUP('Vote et Résultats'!$G7,Valeurs!$E$1:$F$6,2,FALSE)&lt;VLOOKUP('Vote et Résultats'!$I7,Valeurs!$E$1:$F$6,2,FALSE),"C",VLOOKUP('Vote et Résultats'!$G7,Valeurs!$E$1:$F$6,2,FALSE)&gt;VLOOKUP('Vote et Résultats'!$I7,Valeurs!$E$1:$F$6,2,FALSE),"D",VLOOKUP('Vote et Résultats'!$G7,Valeurs!$E$1:$F$6,2,FALSE)=VLOOKUP('Vote et Résultats'!$I7,Valeurs!$E$1:$F$6,2,FALSE),"="),"")</f>
        <v>C</v>
      </c>
      <c r="J5" s="18" t="str">
        <f>IF('Vote et Résultats'!$N7="Valide",_xlfn.IFS(VLOOKUP('Vote et Résultats'!$G7,Valeurs!$E$1:$F$6,2,FALSE)&lt;VLOOKUP('Vote et Résultats'!$K7,Valeurs!$E$1:$F$6,2,FALSE),"C",VLOOKUP('Vote et Résultats'!$G7,Valeurs!$E$1:$F$6,2,FALSE)&gt;VLOOKUP('Vote et Résultats'!$K7,Valeurs!$E$1:$F$6,2,FALSE),"E",VLOOKUP('Vote et Résultats'!$G7,Valeurs!$E$1:$F$6,2,FALSE)=VLOOKUP('Vote et Résultats'!$K7,Valeurs!$E$1:$F$6,2,FALSE),"="),"")</f>
        <v>C</v>
      </c>
      <c r="K5" s="18" t="str">
        <f>IF('Vote et Résultats'!$N7="Valide",_xlfn.IFS(VLOOKUP('Vote et Résultats'!$I7,Valeurs!$E$1:$F$6,2,FALSE)&lt;VLOOKUP('Vote et Résultats'!$K7,Valeurs!$E$1:$F$6,2,FALSE),"D",VLOOKUP('Vote et Résultats'!$I7,Valeurs!$E$1:$F$6,2,FALSE)&gt;VLOOKUP('Vote et Résultats'!$K7,Valeurs!$E$1:$F$6,2,FALSE),"E",VLOOKUP('Vote et Résultats'!$I7,Valeurs!$E$1:$F$6,2,FALSE)=VLOOKUP('Vote et Résultats'!$K7,Valeurs!$E$1:$F$6,2,FALSE),"="),"")</f>
        <v>E</v>
      </c>
    </row>
    <row r="6" spans="1:11" x14ac:dyDescent="0.25">
      <c r="A6" s="61" t="s">
        <v>46</v>
      </c>
      <c r="B6" s="18" t="str">
        <f>IF('Vote et Résultats'!$N8="Valide",_xlfn.IFS(VLOOKUP('Vote et Résultats'!$C8,Valeurs!$E$1:$F$6,2,FALSE)&lt;VLOOKUP('Vote et Résultats'!$E8,Valeurs!$E$1:$F$6,2,FALSE),"A",VLOOKUP('Vote et Résultats'!$C8,Valeurs!$E$1:$F$6,2,FALSE)&gt;VLOOKUP('Vote et Résultats'!$E8,Valeurs!$E$1:$F$6,2,FALSE),"B",VLOOKUP('Vote et Résultats'!$C8,Valeurs!$E$1:$F$6,2,FALSE)=VLOOKUP('Vote et Résultats'!$E8,Valeurs!$E$1:$F$6,2,FALSE),"="),"")</f>
        <v>A</v>
      </c>
      <c r="C6" s="18" t="str">
        <f>IF('Vote et Résultats'!$N8="Valide",_xlfn.IFS(VLOOKUP('Vote et Résultats'!$C8,Valeurs!$E$1:$F$6,2,FALSE)&lt;VLOOKUP('Vote et Résultats'!$G8,Valeurs!$E$1:$F$6,2,FALSE),"A",VLOOKUP('Vote et Résultats'!$C8,Valeurs!$E$1:$F$6,2,FALSE)&gt;VLOOKUP('Vote et Résultats'!$G8,Valeurs!$E$1:$F$6,2,FALSE),"C",VLOOKUP('Vote et Résultats'!$C8,Valeurs!$E$1:$F$6,2,FALSE)=VLOOKUP('Vote et Résultats'!$G8,Valeurs!$E$1:$F$6,2,FALSE),"="),"")</f>
        <v>A</v>
      </c>
      <c r="D6" s="18" t="str">
        <f>IF('Vote et Résultats'!$N8="Valide",_xlfn.IFS(VLOOKUP('Vote et Résultats'!$C8,Valeurs!$E$1:$F$6,2,FALSE)&lt;VLOOKUP('Vote et Résultats'!$I8,Valeurs!$E$1:$F$6,2,FALSE),"A",VLOOKUP('Vote et Résultats'!$C8,Valeurs!$E$1:$F$6,2,FALSE)&gt;VLOOKUP('Vote et Résultats'!$I8,Valeurs!$E$1:$F$6,2,FALSE),"D",VLOOKUP('Vote et Résultats'!$C8,Valeurs!$E$1:$F$6,2,FALSE)=VLOOKUP('Vote et Résultats'!$I8,Valeurs!$E$1:$F$6,2,FALSE),"="),"")</f>
        <v>A</v>
      </c>
      <c r="E6" s="18" t="str">
        <f>IF('Vote et Résultats'!$N8="Valide",_xlfn.IFS(VLOOKUP('Vote et Résultats'!$C8,Valeurs!$E$1:$F$6,2,FALSE)&lt;VLOOKUP('Vote et Résultats'!$K8,Valeurs!$E$1:$F$6,2,FALSE),"A",VLOOKUP('Vote et Résultats'!$C8,Valeurs!$E$1:$F$6,2,FALSE)&gt;VLOOKUP('Vote et Résultats'!$K8,Valeurs!$E$1:$F$6,2,FALSE),"E",VLOOKUP('Vote et Résultats'!$C8,Valeurs!$E$1:$F$6,2,FALSE)=VLOOKUP('Vote et Résultats'!$K8,Valeurs!$E$1:$F$6,2,FALSE),"="),"")</f>
        <v>A</v>
      </c>
      <c r="F6" s="18" t="str">
        <f>IF('Vote et Résultats'!$N8="Valide",_xlfn.IFS(VLOOKUP('Vote et Résultats'!$E8,Valeurs!$E$1:$F$6,2,FALSE)&lt;VLOOKUP('Vote et Résultats'!$G8,Valeurs!$E$1:$F$6,2,FALSE),"B",VLOOKUP('Vote et Résultats'!$E8,Valeurs!$E$1:$F$6,2,FALSE)&gt;VLOOKUP('Vote et Résultats'!$G8,Valeurs!$E$1:$F$6,2,FALSE),"C",VLOOKUP('Vote et Résultats'!$E8,Valeurs!$E$1:$F$6,2,FALSE)=VLOOKUP('Vote et Résultats'!$G8,Valeurs!$E$1:$F$6,2,FALSE),"="),"")</f>
        <v>C</v>
      </c>
      <c r="G6" s="18" t="str">
        <f>IF('Vote et Résultats'!$N8="Valide",_xlfn.IFS(VLOOKUP('Vote et Résultats'!$E8,Valeurs!$E$1:$F$6,2,FALSE)&lt;VLOOKUP('Vote et Résultats'!$I8,Valeurs!$E$1:$F$6,2,FALSE),"B",VLOOKUP('Vote et Résultats'!$E8,Valeurs!$E$1:$F$6,2,FALSE)&gt;VLOOKUP('Vote et Résultats'!$I8,Valeurs!$E$1:$F$6,2,FALSE),"D",VLOOKUP('Vote et Résultats'!$E8,Valeurs!$E$1:$F$6,2,FALSE)=VLOOKUP('Vote et Résultats'!$I8,Valeurs!$E$1:$F$6,2,FALSE),"="),"")</f>
        <v>D</v>
      </c>
      <c r="H6" s="18" t="str">
        <f>IF('Vote et Résultats'!$N8="Valide",_xlfn.IFS(VLOOKUP('Vote et Résultats'!$E8,Valeurs!$E$1:$F$6,2,FALSE)&lt;VLOOKUP('Vote et Résultats'!$K8,Valeurs!$E$1:$F$6,2,FALSE),"B",VLOOKUP('Vote et Résultats'!$E8,Valeurs!$E$1:$F$6,2,FALSE)&gt;VLOOKUP('Vote et Résultats'!$K8,Valeurs!$E$1:$F$6,2,FALSE),"E",VLOOKUP('Vote et Résultats'!$E8,Valeurs!$E$1:$F$6,2,FALSE)=VLOOKUP('Vote et Résultats'!$K8,Valeurs!$E$1:$F$6,2,FALSE),"="),"")</f>
        <v>E</v>
      </c>
      <c r="I6" s="18" t="str">
        <f>IF('Vote et Résultats'!$N8="Valide",_xlfn.IFS(VLOOKUP('Vote et Résultats'!$G8,Valeurs!$E$1:$F$6,2,FALSE)&lt;VLOOKUP('Vote et Résultats'!$I8,Valeurs!$E$1:$F$6,2,FALSE),"C",VLOOKUP('Vote et Résultats'!$G8,Valeurs!$E$1:$F$6,2,FALSE)&gt;VLOOKUP('Vote et Résultats'!$I8,Valeurs!$E$1:$F$6,2,FALSE),"D",VLOOKUP('Vote et Résultats'!$G8,Valeurs!$E$1:$F$6,2,FALSE)=VLOOKUP('Vote et Résultats'!$I8,Valeurs!$E$1:$F$6,2,FALSE),"="),"")</f>
        <v>C</v>
      </c>
      <c r="J6" s="18" t="str">
        <f>IF('Vote et Résultats'!$N8="Valide",_xlfn.IFS(VLOOKUP('Vote et Résultats'!$G8,Valeurs!$E$1:$F$6,2,FALSE)&lt;VLOOKUP('Vote et Résultats'!$K8,Valeurs!$E$1:$F$6,2,FALSE),"C",VLOOKUP('Vote et Résultats'!$G8,Valeurs!$E$1:$F$6,2,FALSE)&gt;VLOOKUP('Vote et Résultats'!$K8,Valeurs!$E$1:$F$6,2,FALSE),"E",VLOOKUP('Vote et Résultats'!$G8,Valeurs!$E$1:$F$6,2,FALSE)=VLOOKUP('Vote et Résultats'!$K8,Valeurs!$E$1:$F$6,2,FALSE),"="),"")</f>
        <v>C</v>
      </c>
      <c r="K6" s="18" t="str">
        <f>IF('Vote et Résultats'!$N8="Valide",_xlfn.IFS(VLOOKUP('Vote et Résultats'!$I8,Valeurs!$E$1:$F$6,2,FALSE)&lt;VLOOKUP('Vote et Résultats'!$K8,Valeurs!$E$1:$F$6,2,FALSE),"D",VLOOKUP('Vote et Résultats'!$I8,Valeurs!$E$1:$F$6,2,FALSE)&gt;VLOOKUP('Vote et Résultats'!$K8,Valeurs!$E$1:$F$6,2,FALSE),"E",VLOOKUP('Vote et Résultats'!$I8,Valeurs!$E$1:$F$6,2,FALSE)=VLOOKUP('Vote et Résultats'!$K8,Valeurs!$E$1:$F$6,2,FALSE),"="),"")</f>
        <v>E</v>
      </c>
    </row>
    <row r="7" spans="1:11" x14ac:dyDescent="0.25">
      <c r="A7" s="61" t="s">
        <v>47</v>
      </c>
      <c r="B7" s="18" t="str">
        <f>IF('Vote et Résultats'!$N9="Valide",_xlfn.IFS(VLOOKUP('Vote et Résultats'!$C9,Valeurs!$E$1:$F$6,2,FALSE)&lt;VLOOKUP('Vote et Résultats'!$E9,Valeurs!$E$1:$F$6,2,FALSE),"A",VLOOKUP('Vote et Résultats'!$C9,Valeurs!$E$1:$F$6,2,FALSE)&gt;VLOOKUP('Vote et Résultats'!$E9,Valeurs!$E$1:$F$6,2,FALSE),"B",VLOOKUP('Vote et Résultats'!$C9,Valeurs!$E$1:$F$6,2,FALSE)=VLOOKUP('Vote et Résultats'!$E9,Valeurs!$E$1:$F$6,2,FALSE),"="),"")</f>
        <v>A</v>
      </c>
      <c r="C7" s="18" t="str">
        <f>IF('Vote et Résultats'!$N9="Valide",_xlfn.IFS(VLOOKUP('Vote et Résultats'!$C9,Valeurs!$E$1:$F$6,2,FALSE)&lt;VLOOKUP('Vote et Résultats'!$G9,Valeurs!$E$1:$F$6,2,FALSE),"A",VLOOKUP('Vote et Résultats'!$C9,Valeurs!$E$1:$F$6,2,FALSE)&gt;VLOOKUP('Vote et Résultats'!$G9,Valeurs!$E$1:$F$6,2,FALSE),"C",VLOOKUP('Vote et Résultats'!$C9,Valeurs!$E$1:$F$6,2,FALSE)=VLOOKUP('Vote et Résultats'!$G9,Valeurs!$E$1:$F$6,2,FALSE),"="),"")</f>
        <v>A</v>
      </c>
      <c r="D7" s="18" t="str">
        <f>IF('Vote et Résultats'!$N9="Valide",_xlfn.IFS(VLOOKUP('Vote et Résultats'!$C9,Valeurs!$E$1:$F$6,2,FALSE)&lt;VLOOKUP('Vote et Résultats'!$I9,Valeurs!$E$1:$F$6,2,FALSE),"A",VLOOKUP('Vote et Résultats'!$C9,Valeurs!$E$1:$F$6,2,FALSE)&gt;VLOOKUP('Vote et Résultats'!$I9,Valeurs!$E$1:$F$6,2,FALSE),"D",VLOOKUP('Vote et Résultats'!$C9,Valeurs!$E$1:$F$6,2,FALSE)=VLOOKUP('Vote et Résultats'!$I9,Valeurs!$E$1:$F$6,2,FALSE),"="),"")</f>
        <v>A</v>
      </c>
      <c r="E7" s="18" t="str">
        <f>IF('Vote et Résultats'!$N9="Valide",_xlfn.IFS(VLOOKUP('Vote et Résultats'!$C9,Valeurs!$E$1:$F$6,2,FALSE)&lt;VLOOKUP('Vote et Résultats'!$K9,Valeurs!$E$1:$F$6,2,FALSE),"A",VLOOKUP('Vote et Résultats'!$C9,Valeurs!$E$1:$F$6,2,FALSE)&gt;VLOOKUP('Vote et Résultats'!$K9,Valeurs!$E$1:$F$6,2,FALSE),"E",VLOOKUP('Vote et Résultats'!$C9,Valeurs!$E$1:$F$6,2,FALSE)=VLOOKUP('Vote et Résultats'!$K9,Valeurs!$E$1:$F$6,2,FALSE),"="),"")</f>
        <v>A</v>
      </c>
      <c r="F7" s="18" t="str">
        <f>IF('Vote et Résultats'!$N9="Valide",_xlfn.IFS(VLOOKUP('Vote et Résultats'!$E9,Valeurs!$E$1:$F$6,2,FALSE)&lt;VLOOKUP('Vote et Résultats'!$G9,Valeurs!$E$1:$F$6,2,FALSE),"B",VLOOKUP('Vote et Résultats'!$E9,Valeurs!$E$1:$F$6,2,FALSE)&gt;VLOOKUP('Vote et Résultats'!$G9,Valeurs!$E$1:$F$6,2,FALSE),"C",VLOOKUP('Vote et Résultats'!$E9,Valeurs!$E$1:$F$6,2,FALSE)=VLOOKUP('Vote et Résultats'!$G9,Valeurs!$E$1:$F$6,2,FALSE),"="),"")</f>
        <v>B</v>
      </c>
      <c r="G7" s="18" t="str">
        <f>IF('Vote et Résultats'!$N9="Valide",_xlfn.IFS(VLOOKUP('Vote et Résultats'!$E9,Valeurs!$E$1:$F$6,2,FALSE)&lt;VLOOKUP('Vote et Résultats'!$I9,Valeurs!$E$1:$F$6,2,FALSE),"B",VLOOKUP('Vote et Résultats'!$E9,Valeurs!$E$1:$F$6,2,FALSE)&gt;VLOOKUP('Vote et Résultats'!$I9,Valeurs!$E$1:$F$6,2,FALSE),"D",VLOOKUP('Vote et Résultats'!$E9,Valeurs!$E$1:$F$6,2,FALSE)=VLOOKUP('Vote et Résultats'!$I9,Valeurs!$E$1:$F$6,2,FALSE),"="),"")</f>
        <v>B</v>
      </c>
      <c r="H7" s="18" t="str">
        <f>IF('Vote et Résultats'!$N9="Valide",_xlfn.IFS(VLOOKUP('Vote et Résultats'!$E9,Valeurs!$E$1:$F$6,2,FALSE)&lt;VLOOKUP('Vote et Résultats'!$K9,Valeurs!$E$1:$F$6,2,FALSE),"B",VLOOKUP('Vote et Résultats'!$E9,Valeurs!$E$1:$F$6,2,FALSE)&gt;VLOOKUP('Vote et Résultats'!$K9,Valeurs!$E$1:$F$6,2,FALSE),"E",VLOOKUP('Vote et Résultats'!$E9,Valeurs!$E$1:$F$6,2,FALSE)=VLOOKUP('Vote et Résultats'!$K9,Valeurs!$E$1:$F$6,2,FALSE),"="),"")</f>
        <v>B</v>
      </c>
      <c r="I7" s="18" t="str">
        <f>IF('Vote et Résultats'!$N9="Valide",_xlfn.IFS(VLOOKUP('Vote et Résultats'!$G9,Valeurs!$E$1:$F$6,2,FALSE)&lt;VLOOKUP('Vote et Résultats'!$I9,Valeurs!$E$1:$F$6,2,FALSE),"C",VLOOKUP('Vote et Résultats'!$G9,Valeurs!$E$1:$F$6,2,FALSE)&gt;VLOOKUP('Vote et Résultats'!$I9,Valeurs!$E$1:$F$6,2,FALSE),"D",VLOOKUP('Vote et Résultats'!$G9,Valeurs!$E$1:$F$6,2,FALSE)=VLOOKUP('Vote et Résultats'!$I9,Valeurs!$E$1:$F$6,2,FALSE),"="),"")</f>
        <v>C</v>
      </c>
      <c r="J7" s="18" t="str">
        <f>IF('Vote et Résultats'!$N9="Valide",_xlfn.IFS(VLOOKUP('Vote et Résultats'!$G9,Valeurs!$E$1:$F$6,2,FALSE)&lt;VLOOKUP('Vote et Résultats'!$K9,Valeurs!$E$1:$F$6,2,FALSE),"C",VLOOKUP('Vote et Résultats'!$G9,Valeurs!$E$1:$F$6,2,FALSE)&gt;VLOOKUP('Vote et Résultats'!$K9,Valeurs!$E$1:$F$6,2,FALSE),"E",VLOOKUP('Vote et Résultats'!$G9,Valeurs!$E$1:$F$6,2,FALSE)=VLOOKUP('Vote et Résultats'!$K9,Valeurs!$E$1:$F$6,2,FALSE),"="),"")</f>
        <v>C</v>
      </c>
      <c r="K7" s="18" t="str">
        <f>IF('Vote et Résultats'!$N9="Valide",_xlfn.IFS(VLOOKUP('Vote et Résultats'!$I9,Valeurs!$E$1:$F$6,2,FALSE)&lt;VLOOKUP('Vote et Résultats'!$K9,Valeurs!$E$1:$F$6,2,FALSE),"D",VLOOKUP('Vote et Résultats'!$I9,Valeurs!$E$1:$F$6,2,FALSE)&gt;VLOOKUP('Vote et Résultats'!$K9,Valeurs!$E$1:$F$6,2,FALSE),"E",VLOOKUP('Vote et Résultats'!$I9,Valeurs!$E$1:$F$6,2,FALSE)=VLOOKUP('Vote et Résultats'!$K9,Valeurs!$E$1:$F$6,2,FALSE),"="),"")</f>
        <v>E</v>
      </c>
    </row>
    <row r="8" spans="1:11" x14ac:dyDescent="0.25">
      <c r="A8" s="61" t="s">
        <v>48</v>
      </c>
      <c r="B8" s="18" t="str">
        <f>IF('Vote et Résultats'!$N10="Valide",_xlfn.IFS(VLOOKUP('Vote et Résultats'!$C10,Valeurs!$E$1:$F$6,2,FALSE)&lt;VLOOKUP('Vote et Résultats'!$E10,Valeurs!$E$1:$F$6,2,FALSE),"A",VLOOKUP('Vote et Résultats'!$C10,Valeurs!$E$1:$F$6,2,FALSE)&gt;VLOOKUP('Vote et Résultats'!$E10,Valeurs!$E$1:$F$6,2,FALSE),"B",VLOOKUP('Vote et Résultats'!$C10,Valeurs!$E$1:$F$6,2,FALSE)=VLOOKUP('Vote et Résultats'!$E10,Valeurs!$E$1:$F$6,2,FALSE),"="),"")</f>
        <v>B</v>
      </c>
      <c r="C8" s="18" t="str">
        <f>IF('Vote et Résultats'!$N10="Valide",_xlfn.IFS(VLOOKUP('Vote et Résultats'!$C10,Valeurs!$E$1:$F$6,2,FALSE)&lt;VLOOKUP('Vote et Résultats'!$G10,Valeurs!$E$1:$F$6,2,FALSE),"A",VLOOKUP('Vote et Résultats'!$C10,Valeurs!$E$1:$F$6,2,FALSE)&gt;VLOOKUP('Vote et Résultats'!$G10,Valeurs!$E$1:$F$6,2,FALSE),"C",VLOOKUP('Vote et Résultats'!$C10,Valeurs!$E$1:$F$6,2,FALSE)=VLOOKUP('Vote et Résultats'!$G10,Valeurs!$E$1:$F$6,2,FALSE),"="),"")</f>
        <v>C</v>
      </c>
      <c r="D8" s="18" t="str">
        <f>IF('Vote et Résultats'!$N10="Valide",_xlfn.IFS(VLOOKUP('Vote et Résultats'!$C10,Valeurs!$E$1:$F$6,2,FALSE)&lt;VLOOKUP('Vote et Résultats'!$I10,Valeurs!$E$1:$F$6,2,FALSE),"A",VLOOKUP('Vote et Résultats'!$C10,Valeurs!$E$1:$F$6,2,FALSE)&gt;VLOOKUP('Vote et Résultats'!$I10,Valeurs!$E$1:$F$6,2,FALSE),"D",VLOOKUP('Vote et Résultats'!$C10,Valeurs!$E$1:$F$6,2,FALSE)=VLOOKUP('Vote et Résultats'!$I10,Valeurs!$E$1:$F$6,2,FALSE),"="),"")</f>
        <v>D</v>
      </c>
      <c r="E8" s="18" t="str">
        <f>IF('Vote et Résultats'!$N10="Valide",_xlfn.IFS(VLOOKUP('Vote et Résultats'!$C10,Valeurs!$E$1:$F$6,2,FALSE)&lt;VLOOKUP('Vote et Résultats'!$K10,Valeurs!$E$1:$F$6,2,FALSE),"A",VLOOKUP('Vote et Résultats'!$C10,Valeurs!$E$1:$F$6,2,FALSE)&gt;VLOOKUP('Vote et Résultats'!$K10,Valeurs!$E$1:$F$6,2,FALSE),"E",VLOOKUP('Vote et Résultats'!$C10,Valeurs!$E$1:$F$6,2,FALSE)=VLOOKUP('Vote et Résultats'!$K10,Valeurs!$E$1:$F$6,2,FALSE),"="),"")</f>
        <v>E</v>
      </c>
      <c r="F8" s="18" t="str">
        <f>IF('Vote et Résultats'!$N10="Valide",_xlfn.IFS(VLOOKUP('Vote et Résultats'!$E10,Valeurs!$E$1:$F$6,2,FALSE)&lt;VLOOKUP('Vote et Résultats'!$G10,Valeurs!$E$1:$F$6,2,FALSE),"B",VLOOKUP('Vote et Résultats'!$E10,Valeurs!$E$1:$F$6,2,FALSE)&gt;VLOOKUP('Vote et Résultats'!$G10,Valeurs!$E$1:$F$6,2,FALSE),"C",VLOOKUP('Vote et Résultats'!$E10,Valeurs!$E$1:$F$6,2,FALSE)=VLOOKUP('Vote et Résultats'!$G10,Valeurs!$E$1:$F$6,2,FALSE),"="),"")</f>
        <v>C</v>
      </c>
      <c r="G8" s="18" t="str">
        <f>IF('Vote et Résultats'!$N10="Valide",_xlfn.IFS(VLOOKUP('Vote et Résultats'!$E10,Valeurs!$E$1:$F$6,2,FALSE)&lt;VLOOKUP('Vote et Résultats'!$I10,Valeurs!$E$1:$F$6,2,FALSE),"B",VLOOKUP('Vote et Résultats'!$E10,Valeurs!$E$1:$F$6,2,FALSE)&gt;VLOOKUP('Vote et Résultats'!$I10,Valeurs!$E$1:$F$6,2,FALSE),"D",VLOOKUP('Vote et Résultats'!$E10,Valeurs!$E$1:$F$6,2,FALSE)=VLOOKUP('Vote et Résultats'!$I10,Valeurs!$E$1:$F$6,2,FALSE),"="),"")</f>
        <v>D</v>
      </c>
      <c r="H8" s="18" t="str">
        <f>IF('Vote et Résultats'!$N10="Valide",_xlfn.IFS(VLOOKUP('Vote et Résultats'!$E10,Valeurs!$E$1:$F$6,2,FALSE)&lt;VLOOKUP('Vote et Résultats'!$K10,Valeurs!$E$1:$F$6,2,FALSE),"B",VLOOKUP('Vote et Résultats'!$E10,Valeurs!$E$1:$F$6,2,FALSE)&gt;VLOOKUP('Vote et Résultats'!$K10,Valeurs!$E$1:$F$6,2,FALSE),"E",VLOOKUP('Vote et Résultats'!$E10,Valeurs!$E$1:$F$6,2,FALSE)=VLOOKUP('Vote et Résultats'!$K10,Valeurs!$E$1:$F$6,2,FALSE),"="),"")</f>
        <v>E</v>
      </c>
      <c r="I8" s="18" t="str">
        <f>IF('Vote et Résultats'!$N10="Valide",_xlfn.IFS(VLOOKUP('Vote et Résultats'!$G10,Valeurs!$E$1:$F$6,2,FALSE)&lt;VLOOKUP('Vote et Résultats'!$I10,Valeurs!$E$1:$F$6,2,FALSE),"C",VLOOKUP('Vote et Résultats'!$G10,Valeurs!$E$1:$F$6,2,FALSE)&gt;VLOOKUP('Vote et Résultats'!$I10,Valeurs!$E$1:$F$6,2,FALSE),"D",VLOOKUP('Vote et Résultats'!$G10,Valeurs!$E$1:$F$6,2,FALSE)=VLOOKUP('Vote et Résultats'!$I10,Valeurs!$E$1:$F$6,2,FALSE),"="),"")</f>
        <v>D</v>
      </c>
      <c r="J8" s="18" t="str">
        <f>IF('Vote et Résultats'!$N10="Valide",_xlfn.IFS(VLOOKUP('Vote et Résultats'!$G10,Valeurs!$E$1:$F$6,2,FALSE)&lt;VLOOKUP('Vote et Résultats'!$K10,Valeurs!$E$1:$F$6,2,FALSE),"C",VLOOKUP('Vote et Résultats'!$G10,Valeurs!$E$1:$F$6,2,FALSE)&gt;VLOOKUP('Vote et Résultats'!$K10,Valeurs!$E$1:$F$6,2,FALSE),"E",VLOOKUP('Vote et Résultats'!$G10,Valeurs!$E$1:$F$6,2,FALSE)=VLOOKUP('Vote et Résultats'!$K10,Valeurs!$E$1:$F$6,2,FALSE),"="),"")</f>
        <v>C</v>
      </c>
      <c r="K8" s="18" t="str">
        <f>IF('Vote et Résultats'!$N10="Valide",_xlfn.IFS(VLOOKUP('Vote et Résultats'!$I10,Valeurs!$E$1:$F$6,2,FALSE)&lt;VLOOKUP('Vote et Résultats'!$K10,Valeurs!$E$1:$F$6,2,FALSE),"D",VLOOKUP('Vote et Résultats'!$I10,Valeurs!$E$1:$F$6,2,FALSE)&gt;VLOOKUP('Vote et Résultats'!$K10,Valeurs!$E$1:$F$6,2,FALSE),"E",VLOOKUP('Vote et Résultats'!$I10,Valeurs!$E$1:$F$6,2,FALSE)=VLOOKUP('Vote et Résultats'!$K10,Valeurs!$E$1:$F$6,2,FALSE),"="),"")</f>
        <v>D</v>
      </c>
    </row>
    <row r="9" spans="1:11" x14ac:dyDescent="0.25">
      <c r="A9" s="61" t="s">
        <v>49</v>
      </c>
      <c r="B9" s="18" t="str">
        <f>IF('Vote et Résultats'!$N11="Valide",_xlfn.IFS(VLOOKUP('Vote et Résultats'!$C11,Valeurs!$E$1:$F$6,2,FALSE)&lt;VLOOKUP('Vote et Résultats'!$E11,Valeurs!$E$1:$F$6,2,FALSE),"A",VLOOKUP('Vote et Résultats'!$C11,Valeurs!$E$1:$F$6,2,FALSE)&gt;VLOOKUP('Vote et Résultats'!$E11,Valeurs!$E$1:$F$6,2,FALSE),"B",VLOOKUP('Vote et Résultats'!$C11,Valeurs!$E$1:$F$6,2,FALSE)=VLOOKUP('Vote et Résultats'!$E11,Valeurs!$E$1:$F$6,2,FALSE),"="),"")</f>
        <v>B</v>
      </c>
      <c r="C9" s="18" t="str">
        <f>IF('Vote et Résultats'!$N11="Valide",_xlfn.IFS(VLOOKUP('Vote et Résultats'!$C11,Valeurs!$E$1:$F$6,2,FALSE)&lt;VLOOKUP('Vote et Résultats'!$G11,Valeurs!$E$1:$F$6,2,FALSE),"A",VLOOKUP('Vote et Résultats'!$C11,Valeurs!$E$1:$F$6,2,FALSE)&gt;VLOOKUP('Vote et Résultats'!$G11,Valeurs!$E$1:$F$6,2,FALSE),"C",VLOOKUP('Vote et Résultats'!$C11,Valeurs!$E$1:$F$6,2,FALSE)=VLOOKUP('Vote et Résultats'!$G11,Valeurs!$E$1:$F$6,2,FALSE),"="),"")</f>
        <v>C</v>
      </c>
      <c r="D9" s="18" t="str">
        <f>IF('Vote et Résultats'!$N11="Valide",_xlfn.IFS(VLOOKUP('Vote et Résultats'!$C11,Valeurs!$E$1:$F$6,2,FALSE)&lt;VLOOKUP('Vote et Résultats'!$I11,Valeurs!$E$1:$F$6,2,FALSE),"A",VLOOKUP('Vote et Résultats'!$C11,Valeurs!$E$1:$F$6,2,FALSE)&gt;VLOOKUP('Vote et Résultats'!$I11,Valeurs!$E$1:$F$6,2,FALSE),"D",VLOOKUP('Vote et Résultats'!$C11,Valeurs!$E$1:$F$6,2,FALSE)=VLOOKUP('Vote et Résultats'!$I11,Valeurs!$E$1:$F$6,2,FALSE),"="),"")</f>
        <v>D</v>
      </c>
      <c r="E9" s="18" t="str">
        <f>IF('Vote et Résultats'!$N11="Valide",_xlfn.IFS(VLOOKUP('Vote et Résultats'!$C11,Valeurs!$E$1:$F$6,2,FALSE)&lt;VLOOKUP('Vote et Résultats'!$K11,Valeurs!$E$1:$F$6,2,FALSE),"A",VLOOKUP('Vote et Résultats'!$C11,Valeurs!$E$1:$F$6,2,FALSE)&gt;VLOOKUP('Vote et Résultats'!$K11,Valeurs!$E$1:$F$6,2,FALSE),"E",VLOOKUP('Vote et Résultats'!$C11,Valeurs!$E$1:$F$6,2,FALSE)=VLOOKUP('Vote et Résultats'!$K11,Valeurs!$E$1:$F$6,2,FALSE),"="),"")</f>
        <v>E</v>
      </c>
      <c r="F9" s="18" t="str">
        <f>IF('Vote et Résultats'!$N11="Valide",_xlfn.IFS(VLOOKUP('Vote et Résultats'!$E11,Valeurs!$E$1:$F$6,2,FALSE)&lt;VLOOKUP('Vote et Résultats'!$G11,Valeurs!$E$1:$F$6,2,FALSE),"B",VLOOKUP('Vote et Résultats'!$E11,Valeurs!$E$1:$F$6,2,FALSE)&gt;VLOOKUP('Vote et Résultats'!$G11,Valeurs!$E$1:$F$6,2,FALSE),"C",VLOOKUP('Vote et Résultats'!$E11,Valeurs!$E$1:$F$6,2,FALSE)=VLOOKUP('Vote et Résultats'!$G11,Valeurs!$E$1:$F$6,2,FALSE),"="),"")</f>
        <v>B</v>
      </c>
      <c r="G9" s="18" t="str">
        <f>IF('Vote et Résultats'!$N11="Valide",_xlfn.IFS(VLOOKUP('Vote et Résultats'!$E11,Valeurs!$E$1:$F$6,2,FALSE)&lt;VLOOKUP('Vote et Résultats'!$I11,Valeurs!$E$1:$F$6,2,FALSE),"B",VLOOKUP('Vote et Résultats'!$E11,Valeurs!$E$1:$F$6,2,FALSE)&gt;VLOOKUP('Vote et Résultats'!$I11,Valeurs!$E$1:$F$6,2,FALSE),"D",VLOOKUP('Vote et Résultats'!$E11,Valeurs!$E$1:$F$6,2,FALSE)=VLOOKUP('Vote et Résultats'!$I11,Valeurs!$E$1:$F$6,2,FALSE),"="),"")</f>
        <v>B</v>
      </c>
      <c r="H9" s="18" t="str">
        <f>IF('Vote et Résultats'!$N11="Valide",_xlfn.IFS(VLOOKUP('Vote et Résultats'!$E11,Valeurs!$E$1:$F$6,2,FALSE)&lt;VLOOKUP('Vote et Résultats'!$K11,Valeurs!$E$1:$F$6,2,FALSE),"B",VLOOKUP('Vote et Résultats'!$E11,Valeurs!$E$1:$F$6,2,FALSE)&gt;VLOOKUP('Vote et Résultats'!$K11,Valeurs!$E$1:$F$6,2,FALSE),"E",VLOOKUP('Vote et Résultats'!$E11,Valeurs!$E$1:$F$6,2,FALSE)=VLOOKUP('Vote et Résultats'!$K11,Valeurs!$E$1:$F$6,2,FALSE),"="),"")</f>
        <v>B</v>
      </c>
      <c r="I9" s="18" t="str">
        <f>IF('Vote et Résultats'!$N11="Valide",_xlfn.IFS(VLOOKUP('Vote et Résultats'!$G11,Valeurs!$E$1:$F$6,2,FALSE)&lt;VLOOKUP('Vote et Résultats'!$I11,Valeurs!$E$1:$F$6,2,FALSE),"C",VLOOKUP('Vote et Résultats'!$G11,Valeurs!$E$1:$F$6,2,FALSE)&gt;VLOOKUP('Vote et Résultats'!$I11,Valeurs!$E$1:$F$6,2,FALSE),"D",VLOOKUP('Vote et Résultats'!$G11,Valeurs!$E$1:$F$6,2,FALSE)=VLOOKUP('Vote et Résultats'!$I11,Valeurs!$E$1:$F$6,2,FALSE),"="),"")</f>
        <v>C</v>
      </c>
      <c r="J9" s="18" t="str">
        <f>IF('Vote et Résultats'!$N11="Valide",_xlfn.IFS(VLOOKUP('Vote et Résultats'!$G11,Valeurs!$E$1:$F$6,2,FALSE)&lt;VLOOKUP('Vote et Résultats'!$K11,Valeurs!$E$1:$F$6,2,FALSE),"C",VLOOKUP('Vote et Résultats'!$G11,Valeurs!$E$1:$F$6,2,FALSE)&gt;VLOOKUP('Vote et Résultats'!$K11,Valeurs!$E$1:$F$6,2,FALSE),"E",VLOOKUP('Vote et Résultats'!$G11,Valeurs!$E$1:$F$6,2,FALSE)=VLOOKUP('Vote et Résultats'!$K11,Valeurs!$E$1:$F$6,2,FALSE),"="),"")</f>
        <v>C</v>
      </c>
      <c r="K9" s="18" t="str">
        <f>IF('Vote et Résultats'!$N11="Valide",_xlfn.IFS(VLOOKUP('Vote et Résultats'!$I11,Valeurs!$E$1:$F$6,2,FALSE)&lt;VLOOKUP('Vote et Résultats'!$K11,Valeurs!$E$1:$F$6,2,FALSE),"D",VLOOKUP('Vote et Résultats'!$I11,Valeurs!$E$1:$F$6,2,FALSE)&gt;VLOOKUP('Vote et Résultats'!$K11,Valeurs!$E$1:$F$6,2,FALSE),"E",VLOOKUP('Vote et Résultats'!$I11,Valeurs!$E$1:$F$6,2,FALSE)=VLOOKUP('Vote et Résultats'!$K11,Valeurs!$E$1:$F$6,2,FALSE),"="),"")</f>
        <v>D</v>
      </c>
    </row>
    <row r="10" spans="1:11" x14ac:dyDescent="0.25">
      <c r="A10" s="61" t="s">
        <v>50</v>
      </c>
      <c r="B10" s="18" t="str">
        <f>IF('Vote et Résultats'!$N12="Valide",_xlfn.IFS(VLOOKUP('Vote et Résultats'!$C12,Valeurs!$E$1:$F$6,2,FALSE)&lt;VLOOKUP('Vote et Résultats'!$E12,Valeurs!$E$1:$F$6,2,FALSE),"A",VLOOKUP('Vote et Résultats'!$C12,Valeurs!$E$1:$F$6,2,FALSE)&gt;VLOOKUP('Vote et Résultats'!$E12,Valeurs!$E$1:$F$6,2,FALSE),"B",VLOOKUP('Vote et Résultats'!$C12,Valeurs!$E$1:$F$6,2,FALSE)=VLOOKUP('Vote et Résultats'!$E12,Valeurs!$E$1:$F$6,2,FALSE),"="),"")</f>
        <v>B</v>
      </c>
      <c r="C10" s="18" t="str">
        <f>IF('Vote et Résultats'!$N12="Valide",_xlfn.IFS(VLOOKUP('Vote et Résultats'!$C12,Valeurs!$E$1:$F$6,2,FALSE)&lt;VLOOKUP('Vote et Résultats'!$G12,Valeurs!$E$1:$F$6,2,FALSE),"A",VLOOKUP('Vote et Résultats'!$C12,Valeurs!$E$1:$F$6,2,FALSE)&gt;VLOOKUP('Vote et Résultats'!$G12,Valeurs!$E$1:$F$6,2,FALSE),"C",VLOOKUP('Vote et Résultats'!$C12,Valeurs!$E$1:$F$6,2,FALSE)=VLOOKUP('Vote et Résultats'!$G12,Valeurs!$E$1:$F$6,2,FALSE),"="),"")</f>
        <v>C</v>
      </c>
      <c r="D10" s="18" t="str">
        <f>IF('Vote et Résultats'!$N12="Valide",_xlfn.IFS(VLOOKUP('Vote et Résultats'!$C12,Valeurs!$E$1:$F$6,2,FALSE)&lt;VLOOKUP('Vote et Résultats'!$I12,Valeurs!$E$1:$F$6,2,FALSE),"A",VLOOKUP('Vote et Résultats'!$C12,Valeurs!$E$1:$F$6,2,FALSE)&gt;VLOOKUP('Vote et Résultats'!$I12,Valeurs!$E$1:$F$6,2,FALSE),"D",VLOOKUP('Vote et Résultats'!$C12,Valeurs!$E$1:$F$6,2,FALSE)=VLOOKUP('Vote et Résultats'!$I12,Valeurs!$E$1:$F$6,2,FALSE),"="),"")</f>
        <v>D</v>
      </c>
      <c r="E10" s="18" t="str">
        <f>IF('Vote et Résultats'!$N12="Valide",_xlfn.IFS(VLOOKUP('Vote et Résultats'!$C12,Valeurs!$E$1:$F$6,2,FALSE)&lt;VLOOKUP('Vote et Résultats'!$K12,Valeurs!$E$1:$F$6,2,FALSE),"A",VLOOKUP('Vote et Résultats'!$C12,Valeurs!$E$1:$F$6,2,FALSE)&gt;VLOOKUP('Vote et Résultats'!$K12,Valeurs!$E$1:$F$6,2,FALSE),"E",VLOOKUP('Vote et Résultats'!$C12,Valeurs!$E$1:$F$6,2,FALSE)=VLOOKUP('Vote et Résultats'!$K12,Valeurs!$E$1:$F$6,2,FALSE),"="),"")</f>
        <v>E</v>
      </c>
      <c r="F10" s="18" t="str">
        <f>IF('Vote et Résultats'!$N12="Valide",_xlfn.IFS(VLOOKUP('Vote et Résultats'!$E12,Valeurs!$E$1:$F$6,2,FALSE)&lt;VLOOKUP('Vote et Résultats'!$G12,Valeurs!$E$1:$F$6,2,FALSE),"B",VLOOKUP('Vote et Résultats'!$E12,Valeurs!$E$1:$F$6,2,FALSE)&gt;VLOOKUP('Vote et Résultats'!$G12,Valeurs!$E$1:$F$6,2,FALSE),"C",VLOOKUP('Vote et Résultats'!$E12,Valeurs!$E$1:$F$6,2,FALSE)=VLOOKUP('Vote et Résultats'!$G12,Valeurs!$E$1:$F$6,2,FALSE),"="),"")</f>
        <v>B</v>
      </c>
      <c r="G10" s="18" t="str">
        <f>IF('Vote et Résultats'!$N12="Valide",_xlfn.IFS(VLOOKUP('Vote et Résultats'!$E12,Valeurs!$E$1:$F$6,2,FALSE)&lt;VLOOKUP('Vote et Résultats'!$I12,Valeurs!$E$1:$F$6,2,FALSE),"B",VLOOKUP('Vote et Résultats'!$E12,Valeurs!$E$1:$F$6,2,FALSE)&gt;VLOOKUP('Vote et Résultats'!$I12,Valeurs!$E$1:$F$6,2,FALSE),"D",VLOOKUP('Vote et Résultats'!$E12,Valeurs!$E$1:$F$6,2,FALSE)=VLOOKUP('Vote et Résultats'!$I12,Valeurs!$E$1:$F$6,2,FALSE),"="),"")</f>
        <v>B</v>
      </c>
      <c r="H10" s="18" t="str">
        <f>IF('Vote et Résultats'!$N12="Valide",_xlfn.IFS(VLOOKUP('Vote et Résultats'!$E12,Valeurs!$E$1:$F$6,2,FALSE)&lt;VLOOKUP('Vote et Résultats'!$K12,Valeurs!$E$1:$F$6,2,FALSE),"B",VLOOKUP('Vote et Résultats'!$E12,Valeurs!$E$1:$F$6,2,FALSE)&gt;VLOOKUP('Vote et Résultats'!$K12,Valeurs!$E$1:$F$6,2,FALSE),"E",VLOOKUP('Vote et Résultats'!$E12,Valeurs!$E$1:$F$6,2,FALSE)=VLOOKUP('Vote et Résultats'!$K12,Valeurs!$E$1:$F$6,2,FALSE),"="),"")</f>
        <v>B</v>
      </c>
      <c r="I10" s="18" t="str">
        <f>IF('Vote et Résultats'!$N12="Valide",_xlfn.IFS(VLOOKUP('Vote et Résultats'!$G12,Valeurs!$E$1:$F$6,2,FALSE)&lt;VLOOKUP('Vote et Résultats'!$I12,Valeurs!$E$1:$F$6,2,FALSE),"C",VLOOKUP('Vote et Résultats'!$G12,Valeurs!$E$1:$F$6,2,FALSE)&gt;VLOOKUP('Vote et Résultats'!$I12,Valeurs!$E$1:$F$6,2,FALSE),"D",VLOOKUP('Vote et Résultats'!$G12,Valeurs!$E$1:$F$6,2,FALSE)=VLOOKUP('Vote et Résultats'!$I12,Valeurs!$E$1:$F$6,2,FALSE),"="),"")</f>
        <v>C</v>
      </c>
      <c r="J10" s="18" t="str">
        <f>IF('Vote et Résultats'!$N12="Valide",_xlfn.IFS(VLOOKUP('Vote et Résultats'!$G12,Valeurs!$E$1:$F$6,2,FALSE)&lt;VLOOKUP('Vote et Résultats'!$K12,Valeurs!$E$1:$F$6,2,FALSE),"C",VLOOKUP('Vote et Résultats'!$G12,Valeurs!$E$1:$F$6,2,FALSE)&gt;VLOOKUP('Vote et Résultats'!$K12,Valeurs!$E$1:$F$6,2,FALSE),"E",VLOOKUP('Vote et Résultats'!$G12,Valeurs!$E$1:$F$6,2,FALSE)=VLOOKUP('Vote et Résultats'!$K12,Valeurs!$E$1:$F$6,2,FALSE),"="),"")</f>
        <v>C</v>
      </c>
      <c r="K10" s="18" t="str">
        <f>IF('Vote et Résultats'!$N12="Valide",_xlfn.IFS(VLOOKUP('Vote et Résultats'!$I12,Valeurs!$E$1:$F$6,2,FALSE)&lt;VLOOKUP('Vote et Résultats'!$K12,Valeurs!$E$1:$F$6,2,FALSE),"D",VLOOKUP('Vote et Résultats'!$I12,Valeurs!$E$1:$F$6,2,FALSE)&gt;VLOOKUP('Vote et Résultats'!$K12,Valeurs!$E$1:$F$6,2,FALSE),"E",VLOOKUP('Vote et Résultats'!$I12,Valeurs!$E$1:$F$6,2,FALSE)=VLOOKUP('Vote et Résultats'!$K12,Valeurs!$E$1:$F$6,2,FALSE),"="),"")</f>
        <v>D</v>
      </c>
    </row>
    <row r="11" spans="1:11" ht="15.75" thickBot="1" x14ac:dyDescent="0.3">
      <c r="A11" s="61" t="s">
        <v>51</v>
      </c>
      <c r="B11" s="18" t="str">
        <f>IF('Vote et Résultats'!$N13="Valide",_xlfn.IFS(VLOOKUP('Vote et Résultats'!$C13,Valeurs!$E$1:$F$6,2,FALSE)&lt;VLOOKUP('Vote et Résultats'!$E13,Valeurs!$E$1:$F$6,2,FALSE),"A",VLOOKUP('Vote et Résultats'!$C13,Valeurs!$E$1:$F$6,2,FALSE)&gt;VLOOKUP('Vote et Résultats'!$E13,Valeurs!$E$1:$F$6,2,FALSE),"B",VLOOKUP('Vote et Résultats'!$C13,Valeurs!$E$1:$F$6,2,FALSE)=VLOOKUP('Vote et Résultats'!$E13,Valeurs!$E$1:$F$6,2,FALSE),"="),"")</f>
        <v>B</v>
      </c>
      <c r="C11" s="18" t="str">
        <f>IF('Vote et Résultats'!$N13="Valide",_xlfn.IFS(VLOOKUP('Vote et Résultats'!$C13,Valeurs!$E$1:$F$6,2,FALSE)&lt;VLOOKUP('Vote et Résultats'!$G13,Valeurs!$E$1:$F$6,2,FALSE),"A",VLOOKUP('Vote et Résultats'!$C13,Valeurs!$E$1:$F$6,2,FALSE)&gt;VLOOKUP('Vote et Résultats'!$G13,Valeurs!$E$1:$F$6,2,FALSE),"C",VLOOKUP('Vote et Résultats'!$C13,Valeurs!$E$1:$F$6,2,FALSE)=VLOOKUP('Vote et Résultats'!$G13,Valeurs!$E$1:$F$6,2,FALSE),"="),"")</f>
        <v>C</v>
      </c>
      <c r="D11" s="18" t="str">
        <f>IF('Vote et Résultats'!$N13="Valide",_xlfn.IFS(VLOOKUP('Vote et Résultats'!$C13,Valeurs!$E$1:$F$6,2,FALSE)&lt;VLOOKUP('Vote et Résultats'!$I13,Valeurs!$E$1:$F$6,2,FALSE),"A",VLOOKUP('Vote et Résultats'!$C13,Valeurs!$E$1:$F$6,2,FALSE)&gt;VLOOKUP('Vote et Résultats'!$I13,Valeurs!$E$1:$F$6,2,FALSE),"D",VLOOKUP('Vote et Résultats'!$C13,Valeurs!$E$1:$F$6,2,FALSE)=VLOOKUP('Vote et Résultats'!$I13,Valeurs!$E$1:$F$6,2,FALSE),"="),"")</f>
        <v>D</v>
      </c>
      <c r="E11" s="18" t="str">
        <f>IF('Vote et Résultats'!$N13="Valide",_xlfn.IFS(VLOOKUP('Vote et Résultats'!$C13,Valeurs!$E$1:$F$6,2,FALSE)&lt;VLOOKUP('Vote et Résultats'!$K13,Valeurs!$E$1:$F$6,2,FALSE),"A",VLOOKUP('Vote et Résultats'!$C13,Valeurs!$E$1:$F$6,2,FALSE)&gt;VLOOKUP('Vote et Résultats'!$K13,Valeurs!$E$1:$F$6,2,FALSE),"E",VLOOKUP('Vote et Résultats'!$C13,Valeurs!$E$1:$F$6,2,FALSE)=VLOOKUP('Vote et Résultats'!$K13,Valeurs!$E$1:$F$6,2,FALSE),"="),"")</f>
        <v>E</v>
      </c>
      <c r="F11" s="18" t="str">
        <f>IF('Vote et Résultats'!$N13="Valide",_xlfn.IFS(VLOOKUP('Vote et Résultats'!$E13,Valeurs!$E$1:$F$6,2,FALSE)&lt;VLOOKUP('Vote et Résultats'!$G13,Valeurs!$E$1:$F$6,2,FALSE),"B",VLOOKUP('Vote et Résultats'!$E13,Valeurs!$E$1:$F$6,2,FALSE)&gt;VLOOKUP('Vote et Résultats'!$G13,Valeurs!$E$1:$F$6,2,FALSE),"C",VLOOKUP('Vote et Résultats'!$E13,Valeurs!$E$1:$F$6,2,FALSE)=VLOOKUP('Vote et Résultats'!$G13,Valeurs!$E$1:$F$6,2,FALSE),"="),"")</f>
        <v>B</v>
      </c>
      <c r="G11" s="18" t="str">
        <f>IF('Vote et Résultats'!$N13="Valide",_xlfn.IFS(VLOOKUP('Vote et Résultats'!$E13,Valeurs!$E$1:$F$6,2,FALSE)&lt;VLOOKUP('Vote et Résultats'!$I13,Valeurs!$E$1:$F$6,2,FALSE),"B",VLOOKUP('Vote et Résultats'!$E13,Valeurs!$E$1:$F$6,2,FALSE)&gt;VLOOKUP('Vote et Résultats'!$I13,Valeurs!$E$1:$F$6,2,FALSE),"D",VLOOKUP('Vote et Résultats'!$E13,Valeurs!$E$1:$F$6,2,FALSE)=VLOOKUP('Vote et Résultats'!$I13,Valeurs!$E$1:$F$6,2,FALSE),"="),"")</f>
        <v>B</v>
      </c>
      <c r="H11" s="18" t="str">
        <f>IF('Vote et Résultats'!$N13="Valide",_xlfn.IFS(VLOOKUP('Vote et Résultats'!$E13,Valeurs!$E$1:$F$6,2,FALSE)&lt;VLOOKUP('Vote et Résultats'!$K13,Valeurs!$E$1:$F$6,2,FALSE),"B",VLOOKUP('Vote et Résultats'!$E13,Valeurs!$E$1:$F$6,2,FALSE)&gt;VLOOKUP('Vote et Résultats'!$K13,Valeurs!$E$1:$F$6,2,FALSE),"E",VLOOKUP('Vote et Résultats'!$E13,Valeurs!$E$1:$F$6,2,FALSE)=VLOOKUP('Vote et Résultats'!$K13,Valeurs!$E$1:$F$6,2,FALSE),"="),"")</f>
        <v>B</v>
      </c>
      <c r="I11" s="18" t="str">
        <f>IF('Vote et Résultats'!$N13="Valide",_xlfn.IFS(VLOOKUP('Vote et Résultats'!$G13,Valeurs!$E$1:$F$6,2,FALSE)&lt;VLOOKUP('Vote et Résultats'!$I13,Valeurs!$E$1:$F$6,2,FALSE),"C",VLOOKUP('Vote et Résultats'!$G13,Valeurs!$E$1:$F$6,2,FALSE)&gt;VLOOKUP('Vote et Résultats'!$I13,Valeurs!$E$1:$F$6,2,FALSE),"D",VLOOKUP('Vote et Résultats'!$G13,Valeurs!$E$1:$F$6,2,FALSE)=VLOOKUP('Vote et Résultats'!$I13,Valeurs!$E$1:$F$6,2,FALSE),"="),"")</f>
        <v>C</v>
      </c>
      <c r="J11" s="18" t="str">
        <f>IF('Vote et Résultats'!$N13="Valide",_xlfn.IFS(VLOOKUP('Vote et Résultats'!$G13,Valeurs!$E$1:$F$6,2,FALSE)&lt;VLOOKUP('Vote et Résultats'!$K13,Valeurs!$E$1:$F$6,2,FALSE),"C",VLOOKUP('Vote et Résultats'!$G13,Valeurs!$E$1:$F$6,2,FALSE)&gt;VLOOKUP('Vote et Résultats'!$K13,Valeurs!$E$1:$F$6,2,FALSE),"E",VLOOKUP('Vote et Résultats'!$G13,Valeurs!$E$1:$F$6,2,FALSE)=VLOOKUP('Vote et Résultats'!$K13,Valeurs!$E$1:$F$6,2,FALSE),"="),"")</f>
        <v>C</v>
      </c>
      <c r="K11" s="18" t="str">
        <f>IF('Vote et Résultats'!$N13="Valide",_xlfn.IFS(VLOOKUP('Vote et Résultats'!$I13,Valeurs!$E$1:$F$6,2,FALSE)&lt;VLOOKUP('Vote et Résultats'!$K13,Valeurs!$E$1:$F$6,2,FALSE),"D",VLOOKUP('Vote et Résultats'!$I13,Valeurs!$E$1:$F$6,2,FALSE)&gt;VLOOKUP('Vote et Résultats'!$K13,Valeurs!$E$1:$F$6,2,FALSE),"E",VLOOKUP('Vote et Résultats'!$I13,Valeurs!$E$1:$F$6,2,FALSE)=VLOOKUP('Vote et Résultats'!$K13,Valeurs!$E$1:$F$6,2,FALSE),"="),"")</f>
        <v>D</v>
      </c>
    </row>
    <row r="12" spans="1:11" ht="16.5" hidden="1" thickTop="1" thickBot="1" x14ac:dyDescent="0.3">
      <c r="A12" s="12" t="s">
        <v>10</v>
      </c>
      <c r="B12" s="29" t="str">
        <f>_xlfn.IFS(VALUE(MID('Vote et Résultats'!C14,SEARCH("=",'Vote et Résultats'!C14)+2,10))&gt;VALUE(MID('Vote et Résultats'!E14,SEARCH("=",'Vote et Résultats'!E14)+2,10)),"A",VALUE(MID('Vote et Résultats'!C14,SEARCH("=",'Vote et Résultats'!C14)+2,10))&lt;VALUE(MID('Vote et Résultats'!E14,SEARCH("=",'Vote et Résultats'!E14)+2,10)),"B",VALUE(MID('Vote et Résultats'!C14,SEARCH("=",'Vote et Résultats'!C14)+2,10))=VALUE(MID('Vote et Résultats'!E14,SEARCH("=",'Vote et Résultats'!E14)+2,10)),"=")</f>
        <v>B</v>
      </c>
      <c r="C12" s="29" t="str">
        <f>_xlfn.IFS(VALUE(MID('Vote et Résultats'!C14,SEARCH("=",'Vote et Résultats'!C14)+2,10))&gt;VALUE(MID('Vote et Résultats'!G14,SEARCH("=",'Vote et Résultats'!G14)+2,10)),"A",VALUE(MID('Vote et Résultats'!C14,SEARCH("=",'Vote et Résultats'!C14)+2,10))&lt;VALUE(MID('Vote et Résultats'!G14,SEARCH("=",'Vote et Résultats'!G14)+2,10)),"C",VALUE(MID('Vote et Résultats'!C14,SEARCH("=",'Vote et Résultats'!C14)+2,10))=VALUE(MID('Vote et Résultats'!G14,SEARCH("=",'Vote et Résultats'!G14)+2,10)),"=")</f>
        <v>C</v>
      </c>
      <c r="D12" s="29" t="str">
        <f>_xlfn.IFS(VALUE(MID('Vote et Résultats'!C14,SEARCH("=",'Vote et Résultats'!C14)+2,10))&gt;VALUE(MID('Vote et Résultats'!I14,SEARCH("=",'Vote et Résultats'!I14)+2,10)),"A",VALUE(MID('Vote et Résultats'!C14,SEARCH("=",'Vote et Résultats'!C14)+2,10))&lt;VALUE(MID('Vote et Résultats'!I14,SEARCH("=",'Vote et Résultats'!I14)+2,10)),"D",VALUE(MID('Vote et Résultats'!C14,SEARCH("=",'Vote et Résultats'!C14)+2,10))=VALUE(MID('Vote et Résultats'!I14,SEARCH("=",'Vote et Résultats'!I14)+2,10)),"=")</f>
        <v>A</v>
      </c>
      <c r="E12" s="29" t="str">
        <f>_xlfn.IFS(VALUE(MID('Vote et Résultats'!C14,SEARCH("=",'Vote et Résultats'!C14)+2,10))&gt;VALUE(MID('Vote et Résultats'!K14,SEARCH("=",'Vote et Résultats'!K14)+2,10)),"A",VALUE(MID('Vote et Résultats'!C14,SEARCH("=",'Vote et Résultats'!C14)+2,10))&lt;VALUE(MID('Vote et Résultats'!K14,SEARCH("=",'Vote et Résultats'!K14)+2,10)),"E",VALUE(MID('Vote et Résultats'!C14,SEARCH("=",'Vote et Résultats'!C14)+2,10))=VALUE(MID('Vote et Résultats'!K14,SEARCH("=",'Vote et Résultats'!K14)+2,10)),"=")</f>
        <v>A</v>
      </c>
      <c r="F12" s="29" t="str">
        <f>_xlfn.IFS(VALUE(MID('Vote et Résultats'!E14,SEARCH("=",'Vote et Résultats'!E14)+2,10))&gt;VALUE(MID('Vote et Résultats'!G14,SEARCH("=",'Vote et Résultats'!G14)+2,10)),"B",VALUE(MID('Vote et Résultats'!E14,SEARCH("=",'Vote et Résultats'!E14)+2,10))&lt;VALUE(MID('Vote et Résultats'!G14,SEARCH("=",'Vote et Résultats'!G14)+2,10)),"C",VALUE(MID('Vote et Résultats'!E14,SEARCH("=",'Vote et Résultats'!E14)+2,10))=VALUE(MID('Vote et Résultats'!G14,SEARCH("=",'Vote et Résultats'!G14)+2,10)),"=")</f>
        <v>C</v>
      </c>
      <c r="G12" s="29" t="str">
        <f>_xlfn.IFS(VALUE(MID('Vote et Résultats'!E14,SEARCH("=",'Vote et Résultats'!E14)+2,10))&gt;VALUE(MID('Vote et Résultats'!I14,SEARCH("=",'Vote et Résultats'!I14)+2,10)),"B",VALUE(MID('Vote et Résultats'!E14,SEARCH("=",'Vote et Résultats'!E14)+2,10))&lt;VALUE(MID('Vote et Résultats'!I14,SEARCH("=",'Vote et Résultats'!I14)+2,10)),"D",VALUE(MID('Vote et Résultats'!E14,SEARCH("=",'Vote et Résultats'!E14)+2,10))=VALUE(MID('Vote et Résultats'!I14,SEARCH("=",'Vote et Résultats'!I14)+2,10)),"=")</f>
        <v>B</v>
      </c>
      <c r="H12" s="29" t="str">
        <f>_xlfn.IFS(VALUE(MID('Vote et Résultats'!E14,SEARCH("=",'Vote et Résultats'!E14)+2,10))&gt;VALUE(MID('Vote et Résultats'!K14,SEARCH("=",'Vote et Résultats'!K14)+2,10)),"B",VALUE(MID('Vote et Résultats'!E14,SEARCH("=",'Vote et Résultats'!E14)+2,10))&lt;VALUE(MID('Vote et Résultats'!K14,SEARCH("=",'Vote et Résultats'!K14)+2,10)),"E",VALUE(MID('Vote et Résultats'!E14,SEARCH("=",'Vote et Résultats'!E14)+2,10))=VALUE(MID('Vote et Résultats'!K14,SEARCH("=",'Vote et Résultats'!K14)+2,10)),"=")</f>
        <v>B</v>
      </c>
      <c r="I12" s="29" t="str">
        <f>_xlfn.IFS(VALUE(MID('Vote et Résultats'!G14,SEARCH("=",'Vote et Résultats'!G14)+2,10))&gt;VALUE(MID('Vote et Résultats'!I14,SEARCH("=",'Vote et Résultats'!I14)+2,10)),"C",VALUE(MID('Vote et Résultats'!G14,SEARCH("=",'Vote et Résultats'!G14)+2,10))&lt;VALUE(MID('Vote et Résultats'!I14,SEARCH("=",'Vote et Résultats'!I14)+2,10)),"D",VALUE(MID('Vote et Résultats'!G14,SEARCH("=",'Vote et Résultats'!G14)+2,10))=VALUE(MID('Vote et Résultats'!I14,SEARCH("=",'Vote et Résultats'!I14)+2,10)),"=")</f>
        <v>C</v>
      </c>
      <c r="J12" s="29" t="str">
        <f>_xlfn.IFS(VALUE(MID('Vote et Résultats'!G14,SEARCH("=",'Vote et Résultats'!G14)+2,10))&gt;VALUE(MID('Vote et Résultats'!K14,SEARCH("=",'Vote et Résultats'!K14)+2,10)),"C",VALUE(MID('Vote et Résultats'!G14,SEARCH("=",'Vote et Résultats'!G14)+2,10))&lt;VALUE(MID('Vote et Résultats'!K14,SEARCH("=",'Vote et Résultats'!K14)+2,10)),"E",VALUE(MID('Vote et Résultats'!G14,SEARCH("=",'Vote et Résultats'!G14)+2,10))=VALUE(MID('Vote et Résultats'!K14,SEARCH("=",'Vote et Résultats'!K14)+2,10)),"=")</f>
        <v>C</v>
      </c>
      <c r="K12" s="30" t="str">
        <f>_xlfn.IFS(VALUE(MID('Vote et Résultats'!I14,SEARCH("=",'Vote et Résultats'!I14)+2,10))&gt;VALUE(MID('Vote et Résultats'!K14,SEARCH("=",'Vote et Résultats'!K14)+2,10)),"D",VALUE(MID('Vote et Résultats'!I14,SEARCH("=",'Vote et Résultats'!I14)+2,10))&lt;VALUE(MID('Vote et Résultats'!K14,SEARCH("=",'Vote et Résultats'!K14)+2,10)),"E",VALUE(MID('Vote et Résultats'!I14,SEARCH("=",'Vote et Résultats'!I14)+2,10))=VALUE(MID('Vote et Résultats'!K14,SEARCH("=",'Vote et Résultats'!K14)+2,10)),"=")</f>
        <v>D</v>
      </c>
    </row>
    <row r="13" spans="1:11" ht="15.75" hidden="1" thickBot="1" x14ac:dyDescent="0.3">
      <c r="A13" s="59" t="s">
        <v>58</v>
      </c>
      <c r="B13" s="47" t="str">
        <f>_xlfn.IFS(COUNTIF('Vote et Résultats'!$C$4:$C$13,"refus de vote")&lt;COUNTIF('Vote et Résultats'!$E$4:$E$13,"refus de vote"),"A",COUNTIF('Vote et Résultats'!$C$4:$C$13,"refus de vote")&gt;COUNTIF('Vote et Résultats'!$E$4:$E$13,"refus de vote"),"B",COUNTIF('Vote et Résultats'!$C$4:$C$13,"refus de vote")=COUNTIF('Vote et Résultats'!$E$4:$E$13,"refus de vote"),"=")</f>
        <v>B</v>
      </c>
      <c r="C13" s="47" t="str">
        <f>_xlfn.IFS(COUNTIF('Vote et Résultats'!$C$4:$C$13,"refus de vote")&lt;COUNTIF('Vote et Résultats'!$G$4:$G$13,"refus de vote"),"A",COUNTIF('Vote et Résultats'!$C$4:$C$13,"refus de vote")&gt;COUNTIF('Vote et Résultats'!$G$4:$G$13,"refus de vote"),"C",COUNTIF('Vote et Résultats'!$C$4:$C$13,"refus de vote")=COUNTIF('Vote et Résultats'!$G$4:$G$13,"refus de vote"),"=")</f>
        <v>C</v>
      </c>
      <c r="D13" s="47" t="str">
        <f>_xlfn.IFS(COUNTIF('Vote et Résultats'!$C$4:$C$13,"refus de vote")&lt;COUNTIF('Vote et Résultats'!$I$4:$I$13,"refus de vote"),"A",COUNTIF('Vote et Résultats'!$C$4:$C$13,"refus de vote")&gt;COUNTIF('Vote et Résultats'!$I$4:$I$13,"refus de vote"),"D",COUNTIF('Vote et Résultats'!$C$4:$C$13,"refus de vote")=COUNTIF('Vote et Résultats'!$I$4:$I$13,"refus de vote"),"=")</f>
        <v>D</v>
      </c>
      <c r="E13" s="47" t="str">
        <f>_xlfn.IFS(COUNTIF('Vote et Résultats'!$C$4:$C$13,"refus de vote")&lt;COUNTIF('Vote et Résultats'!$K$4:$K$13,"refus de vote"),"A",COUNTIF('Vote et Résultats'!$C$4:$C$13,"refus de vote")&gt;COUNTIF('Vote et Résultats'!$K$4:$K$13,"refus de vote"),"E",COUNTIF('Vote et Résultats'!$C$4:$C$13,"refus de vote")=COUNTIF('Vote et Résultats'!$K$4:$K$13,"refus de vote"),"=")</f>
        <v>E</v>
      </c>
      <c r="F13" s="47" t="str">
        <f>_xlfn.IFS(COUNTIF('Vote et Résultats'!$E$4:$E$13,"refus de vote")&lt;COUNTIF('Vote et Résultats'!$G$4:$G$13,"refus de vote"),"B",COUNTIF('Vote et Résultats'!$E$4:$E$13,"refus de vote")&gt;COUNTIF('Vote et Résultats'!$G$4:$G$13,"refus de vote"),"C",COUNTIF('Vote et Résultats'!$E$4:$E$13,"refus de vote")=COUNTIF('Vote et Résultats'!$G$4:$G$13,"refus de vote"),"=")</f>
        <v>C</v>
      </c>
      <c r="G13" s="47" t="str">
        <f>_xlfn.IFS(COUNTIF('Vote et Résultats'!$E$4:$E$13,"refus de vote")&lt;COUNTIF('Vote et Résultats'!$I$4:$I$13,"refus de vote"),"B",COUNTIF('Vote et Résultats'!$E$4:$E$13,"refus de vote")&gt;COUNTIF('Vote et Résultats'!$I$4:$I$13,"refus de vote"),"D",COUNTIF('Vote et Résultats'!$E$4:$E$13,"refus de vote")=COUNTIF('Vote et Résultats'!$I$4:$I$13,"refus de vote"),"=")</f>
        <v>B</v>
      </c>
      <c r="H13" s="47" t="str">
        <f>_xlfn.IFS(COUNTIF('Vote et Résultats'!$E$4:$E$13,"refus de vote")&lt;COUNTIF('Vote et Résultats'!$K$4:$K$13,"refus de vote"),"B",COUNTIF('Vote et Résultats'!$E$4:$E$13,"refus de vote")&gt;COUNTIF('Vote et Résultats'!$K$4:$K$13,"refus de vote"),"E",COUNTIF('Vote et Résultats'!$E$4:$E$13,"refus de vote")=COUNTIF('Vote et Résultats'!$K$4:$K$13,"refus de vote"),"=")</f>
        <v>B</v>
      </c>
      <c r="I13" s="47" t="str">
        <f>_xlfn.IFS(COUNTIF('Vote et Résultats'!$G$4:$G$13,"refus de vote")&lt;COUNTIF('Vote et Résultats'!$I$4:$I$13,"refus de vote"),"C",COUNTIF('Vote et Résultats'!$G$4:$G$13,"refus de vote")&gt;COUNTIF('Vote et Résultats'!$I$4:$I$13,"refus de vote"),"D",COUNTIF('Vote et Résultats'!$G$4:$G$13,"refus de vote")=COUNTIF('Vote et Résultats'!$I$4:$I$13,"refus de vote"),"=")</f>
        <v>C</v>
      </c>
      <c r="J13" s="47" t="str">
        <f>_xlfn.IFS(COUNTIF('Vote et Résultats'!$G$4:$G$13,"refus de vote")&lt;COUNTIF('Vote et Résultats'!$K$4:$K$13,"refus de vote"),"C",COUNTIF('Vote et Résultats'!$G$4:$G$13,"refus de vote")&gt;COUNTIF('Vote et Résultats'!$K$4:$K$13,"refus de vote"),"E",COUNTIF('Vote et Résultats'!$G$4:$G$13,"refus de vote")=COUNTIF('Vote et Résultats'!$K$4:$K$13,"refus de vote"),"=")</f>
        <v>C</v>
      </c>
      <c r="K13" s="60" t="str">
        <f>_xlfn.IFS(COUNTIF('Vote et Résultats'!$I$4:$I$13,"refus de vote")&lt;COUNTIF('Vote et Résultats'!$K$4:$K$13,"refus de vote"),"D",COUNTIF('Vote et Résultats'!$I$4:$I$13,"refus de vote")&gt;COUNTIF('Vote et Résultats'!$K$4:$K$13,"refus de vote"),"E",COUNTIF('Vote et Résultats'!$I$4:$I$13,"refus de vote")=COUNTIF('Vote et Résultats'!$K$4:$K$13,"refus de vote"),"=")</f>
        <v>D</v>
      </c>
    </row>
    <row r="14" spans="1:11" ht="15.75" hidden="1" thickBot="1" x14ac:dyDescent="0.3">
      <c r="A14" s="94" t="s">
        <v>72</v>
      </c>
      <c r="B14" s="95" t="str">
        <f>_xlfn.IFS(VALUE(MID('Vote et Résultats'!D14,SEARCH("=",'Vote et Résultats'!D14)+2,10))&lt;VALUE(MID('Vote et Résultats'!F14,SEARCH("=",'Vote et Résultats'!F14)+2,10)),"A",VALUE(MID('Vote et Résultats'!D14,SEARCH("=",'Vote et Résultats'!D14)+2,10))&gt;VALUE(MID('Vote et Résultats'!F14,SEARCH("=",'Vote et Résultats'!F14)+2,10)),"B",VALUE(MID('Vote et Résultats'!D14,SEARCH("=",'Vote et Résultats'!D14)+2,10))=VALUE(MID('Vote et Résultats'!F14,SEARCH("=",'Vote et Résultats'!F14)+2,10)),"=")</f>
        <v>A</v>
      </c>
      <c r="C14" s="95" t="str">
        <f>_xlfn.IFS(VALUE(MID('Vote et Résultats'!D14,SEARCH("=",'Vote et Résultats'!D14)+2,10))&lt;VALUE(MID('Vote et Résultats'!H14,SEARCH("=",'Vote et Résultats'!H14)+2,10)),"A",VALUE(MID('Vote et Résultats'!D14,SEARCH("=",'Vote et Résultats'!D14)+2,10))&gt;VALUE(MID('Vote et Résultats'!H14,SEARCH("=",'Vote et Résultats'!H14)+2,10)),"C",VALUE(MID('Vote et Résultats'!D14,SEARCH("=",'Vote et Résultats'!D14)+2,10))=VALUE(MID('Vote et Résultats'!H14,SEARCH("=",'Vote et Résultats'!H14)+2,10)),"=")</f>
        <v>A</v>
      </c>
      <c r="D14" s="95" t="str">
        <f>_xlfn.IFS(VALUE(MID('Vote et Résultats'!D14,SEARCH("=",'Vote et Résultats'!D14)+2,10))&lt;VALUE(MID('Vote et Résultats'!J14,SEARCH("=",'Vote et Résultats'!J14)+2,10)),"A",VALUE(MID('Vote et Résultats'!D14,SEARCH("=",'Vote et Résultats'!D14)+2,10))&gt;VALUE(MID('Vote et Résultats'!J14,SEARCH("=",'Vote et Résultats'!J14)+2,10)),"D",VALUE(MID('Vote et Résultats'!D14,SEARCH("=",'Vote et Résultats'!D14)+2,10))=VALUE(MID('Vote et Résultats'!J14,SEARCH("=",'Vote et Résultats'!J14)+2,10)),"=")</f>
        <v>A</v>
      </c>
      <c r="E14" s="95" t="str">
        <f>_xlfn.IFS(VALUE(MID('Vote et Résultats'!D14,SEARCH("=",'Vote et Résultats'!D14)+2,10))&lt;VALUE(MID('Vote et Résultats'!L14,SEARCH("=",'Vote et Résultats'!L14)+2,10)),"A",VALUE(MID('Vote et Résultats'!D14,SEARCH("=",'Vote et Résultats'!D14)+2,10))&gt;VALUE(MID('Vote et Résultats'!L14,SEARCH("=",'Vote et Résultats'!L14)+2,10)),"E",VALUE(MID('Vote et Résultats'!D14,SEARCH("=",'Vote et Résultats'!D14)+2,10))=VALUE(MID('Vote et Résultats'!L14,SEARCH("=",'Vote et Résultats'!L14)+2,10)),"=")</f>
        <v>A</v>
      </c>
      <c r="F14" s="95" t="str">
        <f>_xlfn.IFS(VALUE(MID('Vote et Résultats'!F14,SEARCH("=",'Vote et Résultats'!F14)+2,10))&lt;VALUE(MID('Vote et Résultats'!H14,SEARCH("=",'Vote et Résultats'!H14)+2,10)),"B",VALUE(MID('Vote et Résultats'!F14,SEARCH("=",'Vote et Résultats'!F14)+2,10))&gt;VALUE(MID('Vote et Résultats'!H14,SEARCH("=",'Vote et Résultats'!H14)+2,10)),"C",VALUE(MID('Vote et Résultats'!F14,SEARCH("=",'Vote et Résultats'!F14)+2,10))=VALUE(MID('Vote et Résultats'!H14,SEARCH("=",'Vote et Résultats'!H14)+2,10)),"=")</f>
        <v>B</v>
      </c>
      <c r="G14" s="95" t="str">
        <f>_xlfn.IFS(VALUE(MID('Vote et Résultats'!F14,SEARCH("=",'Vote et Résultats'!F14)+2,10))&lt;VALUE(MID('Vote et Résultats'!J14,SEARCH("=",'Vote et Résultats'!J14)+2,10)),"B",VALUE(MID('Vote et Résultats'!F14,SEARCH("=",'Vote et Résultats'!F14)+2,10))&gt;VALUE(MID('Vote et Résultats'!J14,SEARCH("=",'Vote et Résultats'!J14)+2,10)),"D",VALUE(MID('Vote et Résultats'!F14,SEARCH("=",'Vote et Résultats'!F14)+2,10))=VALUE(MID('Vote et Résultats'!J14,SEARCH("=",'Vote et Résultats'!J14)+2,10)),"=")</f>
        <v>B</v>
      </c>
      <c r="H14" s="95" t="str">
        <f>_xlfn.IFS(VALUE(MID('Vote et Résultats'!F14,SEARCH("=",'Vote et Résultats'!F14)+2,10))&lt;VALUE(MID('Vote et Résultats'!L14,SEARCH("=",'Vote et Résultats'!L14)+2,10)),"B",VALUE(MID('Vote et Résultats'!F14,SEARCH("=",'Vote et Résultats'!F14)+2,10))&gt;VALUE(MID('Vote et Résultats'!L14,SEARCH("=",'Vote et Résultats'!L14)+2,10)),"E",VALUE(MID('Vote et Résultats'!F14,SEARCH("=",'Vote et Résultats'!F14)+2,10))=VALUE(MID('Vote et Résultats'!L14,SEARCH("=",'Vote et Résultats'!L14)+2,10)),"=")</f>
        <v>B</v>
      </c>
      <c r="I14" s="95" t="str">
        <f>_xlfn.IFS(VALUE(MID('Vote et Résultats'!H14,SEARCH("=",'Vote et Résultats'!H14)+2,10))&lt;VALUE(MID('Vote et Résultats'!J14,SEARCH("=",'Vote et Résultats'!J14)+2,10)),"C",VALUE(MID('Vote et Résultats'!H14,SEARCH("=",'Vote et Résultats'!H14)+2,10))&gt;VALUE(MID('Vote et Résultats'!J14,SEARCH("=",'Vote et Résultats'!J14)+2,10)),"D",VALUE(MID('Vote et Résultats'!H14,SEARCH("=",'Vote et Résultats'!H14)+2,10))=VALUE(MID('Vote et Résultats'!J14,SEARCH("=",'Vote et Résultats'!J14)+2,10)),"=")</f>
        <v>C</v>
      </c>
      <c r="J14" s="95" t="str">
        <f>_xlfn.IFS(VALUE(MID('Vote et Résultats'!H14,SEARCH("=",'Vote et Résultats'!H14)+2,10))&lt;VALUE(MID('Vote et Résultats'!L14,SEARCH("=",'Vote et Résultats'!L14)+2,10)),"C",VALUE(MID('Vote et Résultats'!H14,SEARCH("=",'Vote et Résultats'!H14)+2,10))&gt;VALUE(MID('Vote et Résultats'!L14,SEARCH("=",'Vote et Résultats'!L14)+2,10)),"E",VALUE(MID('Vote et Résultats'!H14,SEARCH("=",'Vote et Résultats'!H14)+2,10))=VALUE(MID('Vote et Résultats'!L14,SEARCH("=",'Vote et Résultats'!L14)+2,10)),"=")</f>
        <v>C</v>
      </c>
      <c r="K14" s="96" t="str">
        <f>_xlfn.IFS(VALUE(MID('Vote et Résultats'!J14,SEARCH("=",'Vote et Résultats'!J14)+2,10))&lt;VALUE(MID('Vote et Résultats'!L14,SEARCH("=",'Vote et Résultats'!L14)+2,10)),"D",VALUE(MID('Vote et Résultats'!J14,SEARCH("=",'Vote et Résultats'!J14)+2,10))&gt;VALUE(MID('Vote et Résultats'!L14,SEARCH("=",'Vote et Résultats'!L14)+2,10)),"E",VALUE(MID('Vote et Résultats'!J14,SEARCH("=",'Vote et Résultats'!J14)+2,10))=VALUE(MID('Vote et Résultats'!L14,SEARCH("=",'Vote et Résultats'!L14)+2,10)),"=")</f>
        <v>D</v>
      </c>
    </row>
    <row r="15" spans="1:11" ht="16.5" thickTop="1" thickBot="1" x14ac:dyDescent="0.3">
      <c r="A15" s="97" t="s">
        <v>71</v>
      </c>
      <c r="B15" s="98" t="str">
        <f>_xlfn.IFS(COUNTIF(B2:B11,"A")&gt;COUNTIF(B2:B11,"B"),"A",COUNTIF(B2:B11,"A")&lt;COUNTIF(B2:B11,"B"),"B",COUNTIF(B2:B11,"A")=COUNTIF(B2:B11,"B"),"=")</f>
        <v>A</v>
      </c>
      <c r="C15" s="98" t="str">
        <f>_xlfn.IFS(COUNTIF(C2:C11,"A")&gt;COUNTIF(C2:C11,"C"),"A",COUNTIF(C2:C11,"A")&lt;COUNTIF(C2:C11,"C"),"C",COUNTIF(C2:C11,"A")=COUNTIF(C2:C11,"C"),"=")</f>
        <v>A</v>
      </c>
      <c r="D15" s="98" t="str">
        <f>_xlfn.IFS(COUNTIF(D2:D11,"A")&gt;COUNTIF(D2:D11,"D"),"A",COUNTIF(D2:D11,"A")&lt;COUNTIF(D2:D11,"D"),"D",COUNTIF(D2:D11,"A")=COUNTIF(D2:D11,"D"),"=")</f>
        <v>A</v>
      </c>
      <c r="E15" s="98" t="str">
        <f>_xlfn.IFS(COUNTIF(E2:E11,"A")&gt;COUNTIF(E2:E11,"E"),"A",COUNTIF(E2:E11,"A")&lt;COUNTIF(E2:E11,"E"),"E",COUNTIF(E2:E11,"A")=COUNTIF(E2:E11,"E"),"=")</f>
        <v>A</v>
      </c>
      <c r="F15" s="98" t="str">
        <f>_xlfn.IFS(COUNTIF(F2:F11,"B")&gt;COUNTIF(F2:F11,"C"),"B",COUNTIF(F2:F11,"B")&lt;COUNTIF(F2:F11,"C"),"C",COUNTIF(F2:F11,"B")=COUNTIF(F2:F11,"C"),"=")</f>
        <v>B</v>
      </c>
      <c r="G15" s="98" t="str">
        <f>_xlfn.IFS(COUNTIF(G2:G11,"B")&gt;COUNTIF(G2:G11,"D"),"B",COUNTIF(G2:G11,"B")&lt;COUNTIF(G2:G11,"D"),"D",COUNTIF(G2:G11,"B")=COUNTIF(G2:G11,"D"),"=")</f>
        <v>B</v>
      </c>
      <c r="H15" s="98" t="str">
        <f>_xlfn.IFS(COUNTIF(H2:H11,"B")&gt;COUNTIF(H2:H11,"E"),"B",COUNTIF(H2:H11,"B")&lt;COUNTIF(H2:H11,"E"),"E",COUNTIF(H2:H11,"B")=COUNTIF(H2:H11,"E"),"=")</f>
        <v>B</v>
      </c>
      <c r="I15" s="98" t="str">
        <f>_xlfn.IFS(COUNTIF(I2:I11,"C")&gt;COUNTIF(I2:I11,"D"),"C",COUNTIF(I2:I11,"C")&lt;COUNTIF(I2:I11,"D"),"D",COUNTIF(I2:I11,"C")=COUNTIF(I2:I11,"D"),"=")</f>
        <v>C</v>
      </c>
      <c r="J15" s="98" t="str">
        <f>_xlfn.IFS(COUNTIF(J2:J11,"C")&gt;COUNTIF(J2:J11,"E"),"C",COUNTIF(J2:J11,"C")&lt;COUNTIF(J2:J11,"E"),"E",COUNTIF(J2:J11,"C")=COUNTIF(J2:J11,"E"),"=")</f>
        <v>C</v>
      </c>
      <c r="K15" s="99" t="str">
        <f>_xlfn.IFS(COUNTIF(K2:K11,"D")&gt;COUNTIF(K2:K11,"E"),"D",COUNTIF(K2:K11,"D")&lt;COUNTIF(K2:K11,"E"),"E",COUNTIF(K2:K11,"D")=COUNTIF(K2:K11,"E"),"=")</f>
        <v>D</v>
      </c>
    </row>
    <row r="16" spans="1:11" ht="15.75" thickTop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6D496-BE88-4818-971F-31B20627469F}">
  <sheetPr codeName="Feuil4"/>
  <dimension ref="A1:E6"/>
  <sheetViews>
    <sheetView workbookViewId="0">
      <selection activeCell="D14" sqref="D14"/>
    </sheetView>
  </sheetViews>
  <sheetFormatPr defaultColWidth="11.42578125" defaultRowHeight="15" x14ac:dyDescent="0.25"/>
  <cols>
    <col min="2" max="3" width="15.7109375" customWidth="1"/>
    <col min="4" max="4" width="21.28515625" customWidth="1"/>
    <col min="5" max="5" width="19.42578125" customWidth="1"/>
    <col min="6" max="6" width="16" customWidth="1"/>
    <col min="7" max="7" width="15.5703125" customWidth="1"/>
  </cols>
  <sheetData>
    <row r="1" spans="1:5" ht="28.5" customHeight="1" x14ac:dyDescent="0.25">
      <c r="A1" s="21" t="s">
        <v>33</v>
      </c>
      <c r="B1" s="19" t="s">
        <v>11</v>
      </c>
      <c r="C1" s="47" t="s">
        <v>59</v>
      </c>
      <c r="D1" s="20" t="s">
        <v>32</v>
      </c>
      <c r="E1" s="18" t="s">
        <v>12</v>
      </c>
    </row>
    <row r="2" spans="1:5" x14ac:dyDescent="0.25">
      <c r="A2" s="22" t="s">
        <v>27</v>
      </c>
      <c r="B2" s="19">
        <f>COUNTIF('Duels Condorcet'!B12:K12,"A")</f>
        <v>2</v>
      </c>
      <c r="C2" s="47">
        <f>COUNTIF('Duels Condorcet'!B13:K13,"A")</f>
        <v>0</v>
      </c>
      <c r="D2" s="20">
        <f>COUNTIF('Duels Condorcet'!B14:K14,"A")</f>
        <v>4</v>
      </c>
      <c r="E2" s="18">
        <f>COUNTIF('Duels Condorcet'!B15:K15,"A")</f>
        <v>4</v>
      </c>
    </row>
    <row r="3" spans="1:5" x14ac:dyDescent="0.25">
      <c r="A3" s="22" t="s">
        <v>28</v>
      </c>
      <c r="B3" s="19">
        <f>COUNTIF('Duels Condorcet'!B12:K12,"B")</f>
        <v>3</v>
      </c>
      <c r="C3" s="47">
        <f>COUNTIF('Duels Condorcet'!B13:K13,"B")</f>
        <v>3</v>
      </c>
      <c r="D3" s="20">
        <f>COUNTIF('Duels Condorcet'!B14:K14,"B")</f>
        <v>3</v>
      </c>
      <c r="E3" s="18">
        <f>COUNTIF('Duels Condorcet'!B15:K15,"B")</f>
        <v>3</v>
      </c>
    </row>
    <row r="4" spans="1:5" x14ac:dyDescent="0.25">
      <c r="A4" s="22" t="s">
        <v>29</v>
      </c>
      <c r="B4" s="19">
        <f>COUNTIF('Duels Condorcet'!B12:K12,"C")</f>
        <v>4</v>
      </c>
      <c r="C4" s="47">
        <f>COUNTIF('Duels Condorcet'!B13:K13,"C")</f>
        <v>4</v>
      </c>
      <c r="D4" s="20">
        <f>COUNTIF('Duels Condorcet'!B14:K14,"C")</f>
        <v>2</v>
      </c>
      <c r="E4" s="18">
        <f>COUNTIF('Duels Condorcet'!B15:K15,"C")</f>
        <v>2</v>
      </c>
    </row>
    <row r="5" spans="1:5" x14ac:dyDescent="0.25">
      <c r="A5" s="22" t="s">
        <v>30</v>
      </c>
      <c r="B5" s="19">
        <f>COUNTIF('Duels Condorcet'!B12:K12,"D")</f>
        <v>1</v>
      </c>
      <c r="C5" s="47">
        <f>COUNTIF('Duels Condorcet'!B13:K13,"D")</f>
        <v>2</v>
      </c>
      <c r="D5" s="20">
        <f>COUNTIF('Duels Condorcet'!B14:K14,"D")</f>
        <v>1</v>
      </c>
      <c r="E5" s="18">
        <f>COUNTIF('Duels Condorcet'!B15:K15,"D")</f>
        <v>1</v>
      </c>
    </row>
    <row r="6" spans="1:5" x14ac:dyDescent="0.25">
      <c r="A6" s="22" t="s">
        <v>31</v>
      </c>
      <c r="B6" s="19">
        <f>COUNTIF('Duels Condorcet'!B12:K12,"E")</f>
        <v>0</v>
      </c>
      <c r="C6" s="47">
        <f>COUNTIF('Duels Condorcet'!B13:K13,"E")</f>
        <v>1</v>
      </c>
      <c r="D6" s="20">
        <f>COUNTIF('Duels Condorcet'!B14:K14,"E")</f>
        <v>0</v>
      </c>
      <c r="E6" s="18">
        <f>COUNTIF('Duels Condorcet'!B15:K15,"E")</f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4F1CE-E2FD-4D47-A532-F2736BF944D6}">
  <sheetPr codeName="Feuil5"/>
  <dimension ref="A1:Z6"/>
  <sheetViews>
    <sheetView workbookViewId="0">
      <selection activeCell="D22" sqref="D22"/>
    </sheetView>
  </sheetViews>
  <sheetFormatPr defaultColWidth="11.42578125" defaultRowHeight="15" x14ac:dyDescent="0.25"/>
  <cols>
    <col min="2" max="7" width="23.85546875" customWidth="1"/>
    <col min="8" max="8" width="16" customWidth="1"/>
    <col min="9" max="9" width="15.5703125" customWidth="1"/>
  </cols>
  <sheetData>
    <row r="1" spans="1:26" ht="29.25" customHeight="1" x14ac:dyDescent="0.25">
      <c r="A1" s="21" t="s">
        <v>69</v>
      </c>
      <c r="B1" s="19" t="s">
        <v>11</v>
      </c>
      <c r="C1" s="47" t="s">
        <v>59</v>
      </c>
      <c r="D1" s="20" t="s">
        <v>32</v>
      </c>
      <c r="E1" s="18" t="s">
        <v>12</v>
      </c>
      <c r="F1" s="58" t="s">
        <v>70</v>
      </c>
      <c r="G1" s="72" t="s">
        <v>68</v>
      </c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x14ac:dyDescent="0.25">
      <c r="A2" s="22" t="s">
        <v>27</v>
      </c>
      <c r="B2" s="19">
        <f>RANK('Compte victoires'!B2,'Compte victoires'!$B$2:$B$6)</f>
        <v>3</v>
      </c>
      <c r="C2" s="47">
        <f>RANK('Compte victoires'!$C2,'Compte victoires'!$C$2:$C$6)</f>
        <v>5</v>
      </c>
      <c r="D2" s="20">
        <f>RANK('Compte victoires'!D2,'Compte victoires'!$D$2:$D$6)</f>
        <v>1</v>
      </c>
      <c r="E2" s="18">
        <f>RANK('Compte victoires'!E2,'Compte victoires'!E$2:E$6)</f>
        <v>1</v>
      </c>
      <c r="F2" s="58">
        <f>'Tours Vote Alternatif'!O35</f>
        <v>1</v>
      </c>
      <c r="G2" s="72">
        <f>'Tours Méthode Coombs'!Q35</f>
        <v>1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x14ac:dyDescent="0.25">
      <c r="A3" s="22" t="s">
        <v>28</v>
      </c>
      <c r="B3" s="19">
        <f>RANK('Compte victoires'!B3,'Compte victoires'!$B$2:$B$6)</f>
        <v>2</v>
      </c>
      <c r="C3" s="47">
        <f>RANK('Compte victoires'!$C3,'Compte victoires'!$C$2:$C$6)</f>
        <v>2</v>
      </c>
      <c r="D3" s="20">
        <f>RANK('Compte victoires'!D3,'Compte victoires'!$D$2:$D$6)</f>
        <v>2</v>
      </c>
      <c r="E3" s="18">
        <f>RANK('Compte victoires'!E3,'Compte victoires'!E$2:E$6)</f>
        <v>2</v>
      </c>
      <c r="F3" s="58">
        <f>'Tours Vote Alternatif'!O36</f>
        <v>2</v>
      </c>
      <c r="G3" s="72">
        <f>'Tours Méthode Coombs'!Q36</f>
        <v>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x14ac:dyDescent="0.25">
      <c r="A4" s="22" t="s">
        <v>29</v>
      </c>
      <c r="B4" s="19">
        <f>RANK('Compte victoires'!B4,'Compte victoires'!$B$2:$B$6)</f>
        <v>1</v>
      </c>
      <c r="C4" s="47">
        <f>RANK('Compte victoires'!$C4,'Compte victoires'!$C$2:$C$6)</f>
        <v>1</v>
      </c>
      <c r="D4" s="20">
        <f>RANK('Compte victoires'!D4,'Compte victoires'!$D$2:$D$6)</f>
        <v>3</v>
      </c>
      <c r="E4" s="18">
        <f>RANK('Compte victoires'!E4,'Compte victoires'!E$2:E$6)</f>
        <v>3</v>
      </c>
      <c r="F4" s="58">
        <f>'Tours Vote Alternatif'!O37</f>
        <v>4</v>
      </c>
      <c r="G4" s="72">
        <f>'Tours Méthode Coombs'!Q37</f>
        <v>4</v>
      </c>
    </row>
    <row r="5" spans="1:26" x14ac:dyDescent="0.25">
      <c r="A5" s="22" t="s">
        <v>30</v>
      </c>
      <c r="B5" s="19">
        <f>RANK('Compte victoires'!B5,'Compte victoires'!$B$2:$B$6)</f>
        <v>4</v>
      </c>
      <c r="C5" s="47">
        <f>RANK('Compte victoires'!$C5,'Compte victoires'!$C$2:$C$6)</f>
        <v>3</v>
      </c>
      <c r="D5" s="20">
        <f>RANK('Compte victoires'!D5,'Compte victoires'!$D$2:$D$6)</f>
        <v>4</v>
      </c>
      <c r="E5" s="18">
        <f>RANK('Compte victoires'!E5,'Compte victoires'!E$2:E$6)</f>
        <v>4</v>
      </c>
      <c r="F5" s="58">
        <f>'Tours Vote Alternatif'!O38</f>
        <v>3</v>
      </c>
      <c r="G5" s="72">
        <f>'Tours Méthode Coombs'!Q38</f>
        <v>3</v>
      </c>
    </row>
    <row r="6" spans="1:26" x14ac:dyDescent="0.25">
      <c r="A6" s="22" t="s">
        <v>31</v>
      </c>
      <c r="B6" s="19">
        <f>RANK('Compte victoires'!B6,'Compte victoires'!$B$2:$B$6)</f>
        <v>5</v>
      </c>
      <c r="C6" s="47">
        <f>RANK('Compte victoires'!$C6,'Compte victoires'!$C$2:$C$6)</f>
        <v>4</v>
      </c>
      <c r="D6" s="20">
        <f>RANK('Compte victoires'!D6,'Compte victoires'!$D$2:$D$6)</f>
        <v>5</v>
      </c>
      <c r="E6" s="18">
        <f>RANK('Compte victoires'!E6,'Compte victoires'!E$2:E$6)</f>
        <v>5</v>
      </c>
      <c r="F6" s="58">
        <f>'Tours Vote Alternatif'!O39</f>
        <v>4</v>
      </c>
      <c r="G6" s="72">
        <f>'Tours Méthode Coombs'!Q39</f>
        <v>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G6"/>
  <sheetViews>
    <sheetView workbookViewId="0">
      <selection activeCell="E1" sqref="E1"/>
    </sheetView>
  </sheetViews>
  <sheetFormatPr defaultColWidth="11.42578125" defaultRowHeight="15" x14ac:dyDescent="0.25"/>
  <cols>
    <col min="1" max="4" width="11.42578125" style="14"/>
    <col min="5" max="5" width="11.85546875" style="14" customWidth="1"/>
    <col min="6" max="6" width="11.42578125" style="14"/>
    <col min="7" max="7" width="11.85546875" style="14" customWidth="1"/>
    <col min="8" max="16384" width="11.42578125" style="14"/>
  </cols>
  <sheetData>
    <row r="1" spans="1:7" x14ac:dyDescent="0.25">
      <c r="A1" s="13" t="s">
        <v>4</v>
      </c>
      <c r="B1" s="14">
        <v>1</v>
      </c>
      <c r="C1" s="13" t="s">
        <v>4</v>
      </c>
      <c r="E1" s="13" t="s">
        <v>55</v>
      </c>
      <c r="F1" s="14">
        <v>1</v>
      </c>
      <c r="G1" s="13" t="s">
        <v>55</v>
      </c>
    </row>
    <row r="2" spans="1:7" x14ac:dyDescent="0.25">
      <c r="A2" s="13" t="s">
        <v>5</v>
      </c>
      <c r="B2" s="14">
        <v>2</v>
      </c>
      <c r="C2" s="13" t="s">
        <v>5</v>
      </c>
      <c r="E2" s="13" t="s">
        <v>23</v>
      </c>
      <c r="F2" s="14">
        <v>2</v>
      </c>
      <c r="G2" s="13" t="s">
        <v>23</v>
      </c>
    </row>
    <row r="3" spans="1:7" x14ac:dyDescent="0.25">
      <c r="A3" s="13" t="s">
        <v>6</v>
      </c>
      <c r="B3" s="14">
        <v>3</v>
      </c>
      <c r="C3" s="13" t="s">
        <v>6</v>
      </c>
      <c r="E3" s="13" t="s">
        <v>24</v>
      </c>
      <c r="F3" s="14">
        <v>3</v>
      </c>
      <c r="G3" s="13" t="s">
        <v>24</v>
      </c>
    </row>
    <row r="4" spans="1:7" x14ac:dyDescent="0.25">
      <c r="A4" s="13" t="s">
        <v>7</v>
      </c>
      <c r="B4" s="14">
        <v>4</v>
      </c>
      <c r="C4" s="13" t="s">
        <v>7</v>
      </c>
      <c r="E4" s="13" t="s">
        <v>25</v>
      </c>
      <c r="F4" s="14">
        <v>4</v>
      </c>
      <c r="G4" s="13" t="s">
        <v>25</v>
      </c>
    </row>
    <row r="5" spans="1:7" x14ac:dyDescent="0.25">
      <c r="A5" s="13" t="s">
        <v>8</v>
      </c>
      <c r="B5" s="14">
        <v>5</v>
      </c>
      <c r="C5" s="13" t="s">
        <v>8</v>
      </c>
      <c r="E5" s="13" t="s">
        <v>26</v>
      </c>
      <c r="F5" s="14">
        <v>5</v>
      </c>
      <c r="G5" s="13" t="s">
        <v>26</v>
      </c>
    </row>
    <row r="6" spans="1:7" x14ac:dyDescent="0.25">
      <c r="A6" s="13" t="s">
        <v>9</v>
      </c>
      <c r="B6" s="14">
        <v>6</v>
      </c>
      <c r="C6" s="13" t="s">
        <v>9</v>
      </c>
      <c r="E6" s="13" t="s">
        <v>35</v>
      </c>
      <c r="F6" s="14">
        <v>6</v>
      </c>
      <c r="G6" s="13" t="s">
        <v>35</v>
      </c>
    </row>
  </sheetData>
  <conditionalFormatting sqref="A1:A6">
    <cfRule type="containsText" dxfId="41" priority="61" operator="containsText" text="à rejeter">
      <formula>NOT(ISERROR(SEARCH("à rejeter",A1)))</formula>
    </cfRule>
    <cfRule type="containsText" dxfId="40" priority="62" operator="containsText" text="insuffisant">
      <formula>NOT(ISERROR(SEARCH("insuffisant",A1)))</formula>
    </cfRule>
    <cfRule type="containsText" dxfId="39" priority="63" operator="containsText" text="passable">
      <formula>NOT(ISERROR(SEARCH("passable",A1)))</formula>
    </cfRule>
    <cfRule type="containsText" dxfId="38" priority="64" operator="containsText" text="assez bien">
      <formula>NOT(ISERROR(SEARCH("assez bien",A1)))</formula>
    </cfRule>
    <cfRule type="beginsWith" dxfId="37" priority="65" operator="beginsWith" text="bien">
      <formula>LEFT(A1,LEN("bien"))="bien"</formula>
    </cfRule>
    <cfRule type="containsText" dxfId="36" priority="66" operator="containsText" text="très bien">
      <formula>NOT(ISERROR(SEARCH("très bien",A1)))</formula>
    </cfRule>
  </conditionalFormatting>
  <conditionalFormatting sqref="C1:C3 C5:C6">
    <cfRule type="containsText" dxfId="35" priority="55" operator="containsText" text="à rejeter">
      <formula>NOT(ISERROR(SEARCH("à rejeter",C1)))</formula>
    </cfRule>
    <cfRule type="containsText" dxfId="34" priority="56" operator="containsText" text="insuffisant">
      <formula>NOT(ISERROR(SEARCH("insuffisant",C1)))</formula>
    </cfRule>
    <cfRule type="containsText" dxfId="33" priority="57" operator="containsText" text="passable">
      <formula>NOT(ISERROR(SEARCH("passable",C1)))</formula>
    </cfRule>
    <cfRule type="containsText" dxfId="32" priority="58" operator="containsText" text="assez bien">
      <formula>NOT(ISERROR(SEARCH("assez bien",C1)))</formula>
    </cfRule>
    <cfRule type="beginsWith" dxfId="31" priority="59" operator="beginsWith" text="bien">
      <formula>LEFT(C1,LEN("bien"))="bien"</formula>
    </cfRule>
    <cfRule type="containsText" dxfId="30" priority="60" operator="containsText" text="très bien">
      <formula>NOT(ISERROR(SEARCH("très bien",C1)))</formula>
    </cfRule>
  </conditionalFormatting>
  <conditionalFormatting sqref="C4">
    <cfRule type="containsText" dxfId="29" priority="49" operator="containsText" text="à rejeter">
      <formula>NOT(ISERROR(SEARCH("à rejeter",C4)))</formula>
    </cfRule>
    <cfRule type="containsText" dxfId="28" priority="50" operator="containsText" text="insuffisant">
      <formula>NOT(ISERROR(SEARCH("insuffisant",C4)))</formula>
    </cfRule>
    <cfRule type="containsText" dxfId="27" priority="51" operator="containsText" text="passable">
      <formula>NOT(ISERROR(SEARCH("passable",C4)))</formula>
    </cfRule>
    <cfRule type="containsText" dxfId="26" priority="52" operator="containsText" text="assez bien">
      <formula>NOT(ISERROR(SEARCH("assez bien",C4)))</formula>
    </cfRule>
    <cfRule type="beginsWith" dxfId="25" priority="53" operator="beginsWith" text="bien">
      <formula>LEFT(C4,LEN("bien"))="bien"</formula>
    </cfRule>
    <cfRule type="containsText" dxfId="24" priority="54" operator="containsText" text="très bien">
      <formula>NOT(ISERROR(SEARCH("très bien",C4)))</formula>
    </cfRule>
  </conditionalFormatting>
  <conditionalFormatting sqref="E6">
    <cfRule type="containsText" dxfId="23" priority="31" operator="containsText" text="refus de vote">
      <formula>NOT(ISERROR(SEARCH("refus de vote",E6)))</formula>
    </cfRule>
    <cfRule type="containsText" dxfId="22" priority="32" operator="containsText" text="5ème">
      <formula>NOT(ISERROR(SEARCH("5ème",E6)))</formula>
    </cfRule>
    <cfRule type="containsText" dxfId="21" priority="33" operator="containsText" text="4ème">
      <formula>NOT(ISERROR(SEARCH("4ème",E6)))</formula>
    </cfRule>
    <cfRule type="containsText" dxfId="20" priority="34" operator="containsText" text="3ème">
      <formula>NOT(ISERROR(SEARCH("3ème",E6)))</formula>
    </cfRule>
    <cfRule type="beginsWith" dxfId="19" priority="35" operator="beginsWith" text="2ème">
      <formula>LEFT(E6,LEN("2ème"))="2ème"</formula>
    </cfRule>
    <cfRule type="containsText" dxfId="18" priority="36" operator="containsText" text="1ère">
      <formula>NOT(ISERROR(SEARCH("1ère",E6)))</formula>
    </cfRule>
  </conditionalFormatting>
  <conditionalFormatting sqref="E1:E5">
    <cfRule type="containsText" dxfId="17" priority="13" operator="containsText" text="refus de vote">
      <formula>NOT(ISERROR(SEARCH("refus de vote",E1)))</formula>
    </cfRule>
    <cfRule type="containsText" dxfId="16" priority="14" operator="containsText" text="5ème">
      <formula>NOT(ISERROR(SEARCH("5ème",E1)))</formula>
    </cfRule>
    <cfRule type="containsText" dxfId="15" priority="15" operator="containsText" text="4ème">
      <formula>NOT(ISERROR(SEARCH("4ème",E1)))</formula>
    </cfRule>
    <cfRule type="containsText" dxfId="14" priority="16" operator="containsText" text="3ème">
      <formula>NOT(ISERROR(SEARCH("3ème",E1)))</formula>
    </cfRule>
    <cfRule type="beginsWith" dxfId="13" priority="17" operator="beginsWith" text="2ème">
      <formula>LEFT(E1,LEN("2ème"))="2ème"</formula>
    </cfRule>
    <cfRule type="containsText" dxfId="12" priority="18" operator="containsText" text="1ère">
      <formula>NOT(ISERROR(SEARCH("1ère",E1)))</formula>
    </cfRule>
  </conditionalFormatting>
  <conditionalFormatting sqref="G6">
    <cfRule type="containsText" dxfId="11" priority="7" operator="containsText" text="refus de vote">
      <formula>NOT(ISERROR(SEARCH("refus de vote",G6)))</formula>
    </cfRule>
    <cfRule type="containsText" dxfId="10" priority="8" operator="containsText" text="5ème">
      <formula>NOT(ISERROR(SEARCH("5ème",G6)))</formula>
    </cfRule>
    <cfRule type="containsText" dxfId="9" priority="9" operator="containsText" text="4ème">
      <formula>NOT(ISERROR(SEARCH("4ème",G6)))</formula>
    </cfRule>
    <cfRule type="containsText" dxfId="8" priority="10" operator="containsText" text="3ème">
      <formula>NOT(ISERROR(SEARCH("3ème",G6)))</formula>
    </cfRule>
    <cfRule type="beginsWith" dxfId="7" priority="11" operator="beginsWith" text="2ème">
      <formula>LEFT(G6,LEN("2ème"))="2ème"</formula>
    </cfRule>
    <cfRule type="containsText" dxfId="6" priority="12" operator="containsText" text="1ère">
      <formula>NOT(ISERROR(SEARCH("1ère",G6)))</formula>
    </cfRule>
  </conditionalFormatting>
  <conditionalFormatting sqref="G1:G5">
    <cfRule type="containsText" dxfId="5" priority="1" operator="containsText" text="refus de vote">
      <formula>NOT(ISERROR(SEARCH("refus de vote",G1)))</formula>
    </cfRule>
    <cfRule type="containsText" dxfId="4" priority="2" operator="containsText" text="5ème">
      <formula>NOT(ISERROR(SEARCH("5ème",G1)))</formula>
    </cfRule>
    <cfRule type="containsText" dxfId="3" priority="3" operator="containsText" text="4ème">
      <formula>NOT(ISERROR(SEARCH("4ème",G1)))</formula>
    </cfRule>
    <cfRule type="containsText" dxfId="2" priority="4" operator="containsText" text="3ème">
      <formula>NOT(ISERROR(SEARCH("3ème",G1)))</formula>
    </cfRule>
    <cfRule type="beginsWith" dxfId="1" priority="5" operator="beginsWith" text="2ème">
      <formula>LEFT(G1,LEN("2ème"))="2ème"</formula>
    </cfRule>
    <cfRule type="containsText" dxfId="0" priority="6" operator="containsText" text="1ère">
      <formula>NOT(ISERROR(SEARCH("1ère",G1)))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Vote et Résultats</vt:lpstr>
      <vt:lpstr>Vérif Bulletins</vt:lpstr>
      <vt:lpstr>Tours Vote Alternatif</vt:lpstr>
      <vt:lpstr>Tours Méthode Coombs</vt:lpstr>
      <vt:lpstr>Duels Condorcet</vt:lpstr>
      <vt:lpstr>Compte victoires</vt:lpstr>
      <vt:lpstr>Classement</vt:lpstr>
      <vt:lpstr>Valeurs</vt:lpstr>
      <vt:lpstr>appréciations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Tzitzimitl</dc:creator>
  <cp:lastModifiedBy>Tzitzimitl</cp:lastModifiedBy>
  <cp:lastPrinted>2021-01-08T04:26:56Z</cp:lastPrinted>
  <dcterms:created xsi:type="dcterms:W3CDTF">2019-01-29T12:48:10Z</dcterms:created>
  <dcterms:modified xsi:type="dcterms:W3CDTF">2021-01-17T20:02:15Z</dcterms:modified>
</cp:coreProperties>
</file>